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on diagnostic" sheetId="1" state="visible" r:id="rId1"/>
    <sheet name="Et ensuite" sheetId="2" state="visible" r:id="rId2"/>
    <sheet name="Calculs" sheetId="3" state="hidden" r:id="rId3"/>
  </sheets>
  <definedNames>
    <definedName name="_xlnm.Print_Area" localSheetId="0">'Mon diagnostic'!$A$1:$D$60</definedName>
    <definedName name="_xlnm.Print_Area" localSheetId="1">'Et ensuite'!$A$1:$D$18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#,##0&quot; €&quot;;&quot;−&quot;#,##0&quot; €&quot;;0&quot; €&quot;"/>
    <numFmt numFmtId="165" formatCode="+#,##0&quot; €&quot;;&quot;−&quot;#,##0&quot; €&quot;;0&quot; €&quot;"/>
  </numFmts>
  <fonts count="22">
    <font>
      <name val="Calibri"/>
      <family val="2"/>
      <color theme="1"/>
      <sz val="11"/>
      <scheme val="minor"/>
    </font>
    <font>
      <name val="Arial"/>
      <color rgb="004B5563"/>
      <sz val="9"/>
    </font>
    <font>
      <name val="Arial"/>
      <b val="1"/>
      <color rgb="00FFFFFF"/>
      <sz val="20"/>
    </font>
    <font>
      <name val="Arial"/>
      <i val="1"/>
      <color rgb="00FFFFFF"/>
      <sz val="9"/>
    </font>
    <font>
      <name val="Arial"/>
      <color rgb="001F2937"/>
      <sz val="10"/>
    </font>
    <font>
      <name val="Arial"/>
      <b val="1"/>
      <color rgb="001F6E4F"/>
      <sz val="9"/>
    </font>
    <font>
      <name val="Arial"/>
      <b val="1"/>
      <color rgb="000F3D2E"/>
      <sz val="10"/>
    </font>
    <font>
      <name val="Arial"/>
      <b val="1"/>
      <color rgb="001F2937"/>
      <sz val="10"/>
    </font>
    <font>
      <name val="Arial"/>
      <b val="1"/>
      <color rgb="001F6E4F"/>
      <sz val="13"/>
    </font>
    <font>
      <name val="Arial"/>
      <b val="1"/>
      <color rgb="00FFFFFF"/>
      <sz val="10"/>
    </font>
    <font>
      <name val="Arial"/>
      <b val="1"/>
      <color rgb="000F3D2E"/>
      <sz val="11"/>
    </font>
    <font>
      <name val="Arial"/>
      <b val="1"/>
      <color rgb="00FFFFFF"/>
      <sz val="13"/>
    </font>
    <font>
      <name val="Arial"/>
      <b val="1"/>
      <color rgb="004B5563"/>
      <sz val="9"/>
    </font>
    <font>
      <name val="Arial"/>
      <b val="1"/>
      <color rgb="000F3D2E"/>
      <sz val="16"/>
    </font>
    <font>
      <name val="Arial"/>
      <color rgb="001F6E4F"/>
      <sz val="10"/>
    </font>
    <font>
      <name val="Arial"/>
      <b val="1"/>
      <color rgb="000F3D2E"/>
      <sz val="12"/>
    </font>
    <font>
      <name val="Arial"/>
      <b val="1"/>
      <color rgb="001F6E4F"/>
      <sz val="10"/>
      <u val="single"/>
    </font>
    <font>
      <name val="Arial"/>
      <b val="1"/>
      <color rgb="000F3D2E"/>
      <sz val="13"/>
    </font>
    <font>
      <name val="Arial"/>
      <b val="1"/>
      <color rgb="001F7A4D"/>
      <sz val="10"/>
    </font>
    <font>
      <name val="Arial"/>
      <color rgb="001F6E4F"/>
      <sz val="10"/>
      <u val="single"/>
    </font>
    <font>
      <name val="Arial"/>
      <color rgb="004B5563"/>
      <sz val="9"/>
      <u val="single"/>
    </font>
    <font>
      <name val="Arial"/>
      <color theme="1"/>
      <sz val="11"/>
    </font>
  </fonts>
  <fills count="7">
    <fill>
      <patternFill/>
    </fill>
    <fill>
      <patternFill patternType="gray125"/>
    </fill>
    <fill>
      <patternFill patternType="solid">
        <fgColor rgb="000F3D2E"/>
        <bgColor rgb="000F3D2E"/>
      </patternFill>
    </fill>
    <fill>
      <patternFill patternType="solid">
        <fgColor rgb="00C9A227"/>
        <bgColor rgb="00C9A227"/>
      </patternFill>
    </fill>
    <fill>
      <patternFill patternType="solid">
        <fgColor rgb="00FFF6D6"/>
        <bgColor rgb="00FFF6D6"/>
      </patternFill>
    </fill>
    <fill>
      <patternFill patternType="solid">
        <fgColor rgb="00F6EDCC"/>
        <bgColor rgb="00F6EDCC"/>
      </patternFill>
    </fill>
    <fill>
      <patternFill patternType="solid">
        <fgColor rgb="00E3EFE8"/>
        <bgColor rgb="00E3EFE8"/>
      </patternFill>
    </fill>
  </fills>
  <borders count="21">
    <border>
      <left/>
      <right/>
      <top/>
      <bottom/>
      <diagonal/>
    </border>
    <border>
      <left style="thin">
        <color rgb="00D9DED9"/>
      </left>
      <right style="thin">
        <color rgb="00D9DED9"/>
      </right>
      <top style="thin">
        <color rgb="00D9DED9"/>
      </top>
      <bottom style="thin">
        <color rgb="00D9DED9"/>
      </bottom>
    </border>
    <border>
      <bottom style="thin">
        <color rgb="00C9A227"/>
      </bottom>
    </border>
    <border>
      <left style="medium">
        <color rgb="000F3D2E"/>
      </left>
      <top style="medium">
        <color rgb="000F3D2E"/>
      </top>
    </border>
    <border>
      <top style="medium">
        <color rgb="000F3D2E"/>
      </top>
    </border>
    <border>
      <right style="medium">
        <color rgb="000F3D2E"/>
      </right>
      <top style="medium">
        <color rgb="000F3D2E"/>
      </top>
    </border>
    <border>
      <left style="medium">
        <color rgb="000F3D2E"/>
      </left>
    </border>
    <border/>
    <border>
      <right style="medium">
        <color rgb="000F3D2E"/>
      </right>
    </border>
    <border>
      <left style="medium">
        <color rgb="000F3D2E"/>
      </left>
      <bottom style="medium">
        <color rgb="000F3D2E"/>
      </bottom>
    </border>
    <border>
      <bottom style="medium">
        <color rgb="000F3D2E"/>
      </bottom>
    </border>
    <border>
      <right style="medium">
        <color rgb="000F3D2E"/>
      </right>
      <bottom style="medium">
        <color rgb="000F3D2E"/>
      </bottom>
    </border>
    <border>
      <bottom style="thin">
        <color rgb="00FFFFFF"/>
      </bottom>
    </border>
    <border>
      <left style="medium">
        <color rgb="000F3D2E"/>
      </left>
      <right style="medium">
        <color rgb="000F3D2E"/>
      </right>
      <top style="medium">
        <color rgb="000F3D2E"/>
      </top>
    </border>
    <border>
      <left/>
      <right/>
      <top style="medium">
        <color rgb="000F3D2E"/>
      </top>
      <bottom/>
      <diagonal/>
    </border>
    <border>
      <left/>
      <right style="medium">
        <color rgb="000F3D2E"/>
      </right>
      <top style="medium">
        <color rgb="000F3D2E"/>
      </top>
      <bottom/>
      <diagonal/>
    </border>
    <border>
      <left style="medium">
        <color rgb="000F3D2E"/>
      </left>
      <right style="medium">
        <color rgb="000F3D2E"/>
      </right>
    </border>
    <border>
      <left/>
      <right style="medium">
        <color rgb="000F3D2E"/>
      </right>
      <top/>
      <bottom/>
      <diagonal/>
    </border>
    <border>
      <left style="medium">
        <color rgb="000F3D2E"/>
      </left>
      <right style="medium">
        <color rgb="000F3D2E"/>
      </right>
      <bottom style="medium">
        <color rgb="000F3D2E"/>
      </bottom>
    </border>
    <border>
      <left/>
      <right/>
      <top/>
      <bottom style="medium">
        <color rgb="000F3D2E"/>
      </bottom>
      <diagonal/>
    </border>
    <border>
      <left/>
      <right style="medium">
        <color rgb="000F3D2E"/>
      </right>
      <top/>
      <bottom style="medium">
        <color rgb="000F3D2E"/>
      </bottom>
      <diagonal/>
    </border>
  </borders>
  <cellStyleXfs count="1">
    <xf numFmtId="0" fontId="0" fillId="0" borderId="0"/>
  </cellStyleXfs>
  <cellXfs count="61">
    <xf numFmtId="0" fontId="0" fillId="0" borderId="0" pivotButton="0" quotePrefix="0" xfId="0"/>
    <xf numFmtId="0" fontId="21" fillId="0" borderId="0" pivotButton="0" quotePrefix="0" xfId="0"/>
    <xf numFmtId="0" fontId="2" fillId="2" borderId="0" applyAlignment="1" pivotButton="0" quotePrefix="0" xfId="0">
      <alignment horizontal="left" vertical="bottom" indent="1"/>
    </xf>
    <xf numFmtId="0" fontId="1" fillId="0" borderId="0" pivotButton="0" quotePrefix="0" xfId="0"/>
    <xf numFmtId="0" fontId="2" fillId="2" borderId="0" applyAlignment="1" pivotButton="0" quotePrefix="0" xfId="0">
      <alignment horizontal="left" vertical="top" indent="1"/>
    </xf>
    <xf numFmtId="0" fontId="3" fillId="2" borderId="0" applyAlignment="1" pivotButton="0" quotePrefix="0" xfId="0">
      <alignment horizontal="left" vertical="center" wrapText="1" indent="1"/>
    </xf>
    <xf numFmtId="0" fontId="21" fillId="3" borderId="0" pivotButton="0" quotePrefix="0" xfId="0"/>
    <xf numFmtId="0" fontId="4" fillId="0" borderId="0" applyAlignment="1" pivotButton="0" quotePrefix="0" xfId="0">
      <alignment horizontal="left" vertical="center" wrapText="1"/>
    </xf>
    <xf numFmtId="0" fontId="21" fillId="4" borderId="1" applyAlignment="1" pivotButton="0" quotePrefix="0" xfId="0">
      <alignment horizontal="left" vertical="top" wrapText="1"/>
    </xf>
    <xf numFmtId="0" fontId="1" fillId="0" borderId="0" applyAlignment="1" pivotButton="0" quotePrefix="0" xfId="0">
      <alignment horizontal="left" vertical="center" wrapText="1"/>
    </xf>
    <xf numFmtId="0" fontId="1" fillId="0" borderId="0" applyAlignment="1" pivotButton="0" quotePrefix="0" xfId="0">
      <alignment horizontal="left" vertical="center"/>
    </xf>
    <xf numFmtId="0" fontId="5" fillId="0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center" vertical="center"/>
    </xf>
    <xf numFmtId="0" fontId="7" fillId="0" borderId="0" applyAlignment="1" pivotButton="0" quotePrefix="0" xfId="0">
      <alignment horizontal="left" vertical="center" wrapText="1"/>
    </xf>
    <xf numFmtId="0" fontId="6" fillId="4" borderId="1" applyAlignment="1" pivotButton="0" quotePrefix="0" xfId="0">
      <alignment horizontal="left" vertical="center"/>
    </xf>
    <xf numFmtId="0" fontId="1" fillId="0" borderId="0" applyAlignment="1" pivotButton="0" quotePrefix="0" xfId="0">
      <alignment horizontal="left" vertical="top" wrapText="1"/>
    </xf>
    <xf numFmtId="0" fontId="8" fillId="0" borderId="2" applyAlignment="1" pivotButton="0" quotePrefix="0" xfId="0">
      <alignment horizontal="left" vertical="bottom"/>
    </xf>
    <xf numFmtId="0" fontId="21" fillId="0" borderId="2" pivotButton="0" quotePrefix="0" xfId="0"/>
    <xf numFmtId="0" fontId="9" fillId="2" borderId="0" applyAlignment="1" pivotButton="0" quotePrefix="0" xfId="0">
      <alignment horizontal="center" vertical="center"/>
    </xf>
    <xf numFmtId="164" fontId="10" fillId="4" borderId="1" applyAlignment="1" pivotButton="0" quotePrefix="0" xfId="0">
      <alignment horizontal="right" vertical="center"/>
    </xf>
    <xf numFmtId="0" fontId="1" fillId="0" borderId="0" applyAlignment="1" pivotButton="0" quotePrefix="0" xfId="0">
      <alignment horizontal="left" vertical="center" indent="1"/>
    </xf>
    <xf numFmtId="0" fontId="11" fillId="2" borderId="0" applyAlignment="1" pivotButton="0" quotePrefix="0" xfId="0">
      <alignment horizontal="left" vertical="center" indent="1"/>
    </xf>
    <xf numFmtId="0" fontId="12" fillId="5" borderId="3" applyAlignment="1" pivotButton="0" quotePrefix="0" xfId="0">
      <alignment horizontal="left" vertical="center" indent="1"/>
    </xf>
    <xf numFmtId="0" fontId="21" fillId="5" borderId="4" pivotButton="0" quotePrefix="0" xfId="0"/>
    <xf numFmtId="0" fontId="21" fillId="5" borderId="5" pivotButton="0" quotePrefix="0" xfId="0"/>
    <xf numFmtId="0" fontId="13" fillId="5" borderId="6" applyAlignment="1" pivotButton="0" quotePrefix="0" xfId="0">
      <alignment horizontal="left" vertical="center" indent="1"/>
    </xf>
    <xf numFmtId="0" fontId="21" fillId="5" borderId="7" pivotButton="0" quotePrefix="0" xfId="0"/>
    <xf numFmtId="0" fontId="21" fillId="5" borderId="8" pivotButton="0" quotePrefix="0" xfId="0"/>
    <xf numFmtId="0" fontId="7" fillId="5" borderId="9" applyAlignment="1" pivotButton="0" quotePrefix="0" xfId="0">
      <alignment horizontal="left" vertical="center" indent="1"/>
    </xf>
    <xf numFmtId="0" fontId="21" fillId="5" borderId="10" pivotButton="0" quotePrefix="0" xfId="0"/>
    <xf numFmtId="0" fontId="21" fillId="5" borderId="11" pivotButton="0" quotePrefix="0" xfId="0"/>
    <xf numFmtId="0" fontId="14" fillId="0" borderId="0" applyAlignment="1" pivotButton="0" quotePrefix="0" xfId="0">
      <alignment horizontal="left" vertical="center" wrapText="1" indent="1"/>
    </xf>
    <xf numFmtId="0" fontId="12" fillId="6" borderId="12" applyAlignment="1" pivotButton="0" quotePrefix="0" xfId="0">
      <alignment horizontal="left" vertical="center" indent="1"/>
    </xf>
    <xf numFmtId="0" fontId="21" fillId="6" borderId="12" pivotButton="0" quotePrefix="0" xfId="0"/>
    <xf numFmtId="0" fontId="6" fillId="6" borderId="12" applyAlignment="1" pivotButton="0" quotePrefix="0" xfId="0">
      <alignment horizontal="right" vertical="center"/>
    </xf>
    <xf numFmtId="164" fontId="15" fillId="6" borderId="12" applyAlignment="1" pivotButton="0" quotePrefix="0" xfId="0">
      <alignment horizontal="right" vertical="center"/>
    </xf>
    <xf numFmtId="165" fontId="15" fillId="6" borderId="12" applyAlignment="1" pivotButton="0" quotePrefix="0" xfId="0">
      <alignment horizontal="right" vertical="center"/>
    </xf>
    <xf numFmtId="0" fontId="12" fillId="6" borderId="7" applyAlignment="1" pivotButton="0" quotePrefix="0" xfId="0">
      <alignment horizontal="left" vertical="center" indent="1"/>
    </xf>
    <xf numFmtId="0" fontId="21" fillId="6" borderId="7" pivotButton="0" quotePrefix="0" xfId="0"/>
    <xf numFmtId="165" fontId="15" fillId="6" borderId="7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top" wrapText="1"/>
    </xf>
    <xf numFmtId="0" fontId="6" fillId="0" borderId="0" applyAlignment="1" pivotButton="0" quotePrefix="0" xfId="0">
      <alignment horizontal="center" vertical="top"/>
    </xf>
    <xf numFmtId="0" fontId="16" fillId="0" borderId="0" applyAlignment="1" pivotButton="0" quotePrefix="0" xfId="0">
      <alignment horizontal="left" vertical="center" wrapText="1"/>
    </xf>
    <xf numFmtId="0" fontId="2" fillId="2" borderId="0" applyAlignment="1" pivotButton="0" quotePrefix="0" xfId="0">
      <alignment horizontal="left" vertical="center" indent="1"/>
    </xf>
    <xf numFmtId="0" fontId="3" fillId="2" borderId="0" applyAlignment="1" pivotButton="0" quotePrefix="0" xfId="0">
      <alignment horizontal="left" vertical="center" indent="1"/>
    </xf>
    <xf numFmtId="0" fontId="6" fillId="6" borderId="0" applyAlignment="1" pivotButton="0" quotePrefix="0" xfId="0">
      <alignment horizontal="left" vertical="center" wrapText="1"/>
    </xf>
    <xf numFmtId="0" fontId="21" fillId="6" borderId="0" pivotButton="0" quotePrefix="0" xfId="0"/>
    <xf numFmtId="0" fontId="12" fillId="5" borderId="13" applyAlignment="1" pivotButton="0" quotePrefix="0" xfId="0">
      <alignment horizontal="left" vertical="center" indent="1"/>
    </xf>
    <xf numFmtId="0" fontId="21" fillId="5" borderId="14" pivotButton="0" quotePrefix="0" xfId="0"/>
    <xf numFmtId="0" fontId="21" fillId="5" borderId="15" pivotButton="0" quotePrefix="0" xfId="0"/>
    <xf numFmtId="0" fontId="17" fillId="0" borderId="16" applyAlignment="1" pivotButton="0" quotePrefix="0" xfId="0">
      <alignment horizontal="left" vertical="center" indent="1"/>
    </xf>
    <xf numFmtId="0" fontId="21" fillId="0" borderId="17" pivotButton="0" quotePrefix="0" xfId="0"/>
    <xf numFmtId="0" fontId="4" fillId="0" borderId="16" applyAlignment="1" pivotButton="0" quotePrefix="0" xfId="0">
      <alignment horizontal="left" vertical="top" wrapText="1" indent="1"/>
    </xf>
    <xf numFmtId="0" fontId="18" fillId="0" borderId="6" applyAlignment="1" pivotButton="0" quotePrefix="0" xfId="0">
      <alignment horizontal="right" vertical="center"/>
    </xf>
    <xf numFmtId="0" fontId="4" fillId="0" borderId="8" applyAlignment="1" pivotButton="0" quotePrefix="0" xfId="0">
      <alignment horizontal="left" vertical="center"/>
    </xf>
    <xf numFmtId="0" fontId="9" fillId="2" borderId="18" applyAlignment="1" pivotButton="0" quotePrefix="0" xfId="0">
      <alignment horizontal="center" vertical="center"/>
    </xf>
    <xf numFmtId="0" fontId="21" fillId="2" borderId="19" pivotButton="0" quotePrefix="0" xfId="0"/>
    <xf numFmtId="0" fontId="21" fillId="2" borderId="20" pivotButton="0" quotePrefix="0" xfId="0"/>
    <xf numFmtId="0" fontId="19" fillId="0" borderId="0" applyAlignment="1" pivotButton="0" quotePrefix="0" xfId="0">
      <alignment horizontal="left" vertical="top" wrapText="1"/>
    </xf>
    <xf numFmtId="0" fontId="20" fillId="0" borderId="0" applyAlignment="1" pivotButton="0" quotePrefix="0" xfId="0">
      <alignment horizontal="left" vertical="top" wrapText="1"/>
    </xf>
    <xf numFmtId="0" fontId="20" fillId="0" borderId="0" applyAlignment="1" pivotButton="0" quotePrefix="0" xfId="0">
      <alignment horizontal="left" vertical="center"/>
    </xf>
  </cellXfs>
  <cellStyles count="1">
    <cellStyle name="Normal" xfId="0" builtinId="0" hidden="0"/>
  </cellStyles>
  <dxfs count="10">
    <dxf>
      <font>
        <b val="1"/>
        <color rgb="00B42318"/>
      </font>
      <fill>
        <patternFill patternType="solid">
          <fgColor rgb="00FDE2E1"/>
          <bgColor rgb="00FDE2E1"/>
        </patternFill>
      </fill>
    </dxf>
    <dxf>
      <font>
        <b val="1"/>
        <color rgb="00B42318"/>
      </font>
    </dxf>
    <dxf>
      <font>
        <color rgb="004B5563"/>
      </font>
    </dxf>
    <dxf>
      <font>
        <b val="1"/>
        <color rgb="00B42318"/>
      </font>
      <fill>
        <patternFill patternType="solid">
          <fgColor rgb="00FFFFFF"/>
          <bgColor rgb="00FFFFFF"/>
        </patternFill>
      </fill>
    </dxf>
    <dxf>
      <font>
        <b val="1"/>
        <color rgb="001F7A4D"/>
      </font>
      <fill>
        <patternFill patternType="solid">
          <fgColor rgb="00FFFFFF"/>
          <bgColor rgb="00FFFFFF"/>
        </patternFill>
      </fill>
    </dxf>
    <dxf>
      <font>
        <b val="1"/>
        <color rgb="001F2937"/>
      </font>
      <fill>
        <patternFill patternType="solid">
          <fgColor rgb="00F6EDCC"/>
          <bgColor rgb="00F6EDCC"/>
        </patternFill>
      </fill>
    </dxf>
    <dxf>
      <font>
        <color rgb="001F6E4F"/>
        <u val="single"/>
      </font>
    </dxf>
    <dxf>
      <fill>
        <patternFill patternType="solid">
          <fgColor rgb="00C9A227"/>
          <bgColor rgb="00C9A227"/>
        </patternFill>
      </fill>
    </dxf>
    <dxf>
      <font>
        <b val="1"/>
        <color rgb="001F2937"/>
      </font>
    </dxf>
    <dxf>
      <font>
        <color rgb="001F2937"/>
      </font>
      <fill>
        <patternFill patternType="solid">
          <fgColor rgb="00FFFFFF"/>
          <bgColor rgb="00FFFFFF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1F6E4F"/>
    <outlinePr summaryBelow="1" summaryRight="1"/>
    <pageSetUpPr fitToPage="1"/>
  </sheetPr>
  <dimension ref="A1:F60"/>
  <sheetViews>
    <sheetView showGridLines="0" tabSelected="1" workbookViewId="0">
      <selection activeCell="A1" sqref="A1"/>
    </sheetView>
  </sheetViews>
  <sheetFormatPr baseColWidth="8" defaultRowHeight="15"/>
  <cols>
    <col width="2" customWidth="1" min="1" max="1"/>
    <col width="4" customWidth="1" min="2" max="2"/>
    <col width="28" customWidth="1" min="3" max="3"/>
    <col width="14" customWidth="1" min="4" max="4"/>
    <col hidden="1" width="6" customWidth="1" min="6" max="6"/>
  </cols>
  <sheetData>
    <row r="1" ht="26" customHeight="1">
      <c r="A1" s="1" t="n"/>
      <c r="B1" s="2" t="inlineStr">
        <is>
          <t>Combien m'échappe</t>
        </is>
      </c>
      <c r="C1" s="1" t="n"/>
      <c r="D1" s="1" t="n"/>
      <c r="E1" s="1" t="n"/>
      <c r="F1" s="3">
        <f>Calculs!$B$68</f>
        <v/>
      </c>
    </row>
    <row r="2" ht="26" customHeight="1">
      <c r="A2" s="1" t="n"/>
      <c r="B2" s="4" t="inlineStr">
        <is>
          <t>chaque mois ?</t>
        </is>
      </c>
      <c r="C2" s="1" t="n"/>
      <c r="D2" s="1" t="n"/>
      <c r="E2" s="1" t="n"/>
      <c r="F2" s="1" t="n"/>
    </row>
    <row r="3" ht="30" customHeight="1">
      <c r="A3" s="1" t="n"/>
      <c r="B3" s="5" t="inlineStr">
        <is>
          <t>Le diagnostic budget SmartWealthLab
Nous créons des tableurs budget en français.</t>
        </is>
      </c>
      <c r="C3" s="1" t="n"/>
      <c r="D3" s="1" t="n"/>
      <c r="E3" s="1" t="n"/>
      <c r="F3" s="1" t="n"/>
    </row>
    <row r="4" ht="4" customHeight="1">
      <c r="A4" s="1" t="n"/>
      <c r="B4" s="6" t="n"/>
      <c r="C4" s="6" t="n"/>
      <c r="D4" s="6" t="n"/>
      <c r="E4" s="1" t="n"/>
      <c r="F4" s="1" t="n"/>
    </row>
    <row r="5" ht="43" customHeight="1">
      <c r="A5" s="1" t="n"/>
      <c r="B5" s="7">
        <f>IF(Calculs!$B$154=1,"Comparez ce que vous pensez dépenser à ce que montre votre compte : 12 chiffres, environ 5 minutes, avec l'appli de votre banque ouverte.","⚠ Une case de résultat a été modifiée : refaites une copie depuis le lien d'origine.")</f>
        <v/>
      </c>
      <c r="C5" s="1" t="n"/>
      <c r="D5" s="1" t="n"/>
      <c r="E5" s="1" t="n"/>
      <c r="F5" s="1" t="n"/>
    </row>
    <row r="6" ht="27" customHeight="1">
      <c r="A6" s="1" t="n"/>
      <c r="B6" s="8" t="n"/>
      <c r="C6" s="9" t="inlineStr">
        <is>
          <t>Cases jaunes : à remplir. Vous ne savez pas ? Laissez vide. Pour refaire le test : changez-les.</t>
        </is>
      </c>
      <c r="D6" s="1" t="n"/>
      <c r="E6" s="1" t="n"/>
      <c r="F6" s="1" t="n"/>
    </row>
    <row r="7" ht="15" customHeight="1">
      <c r="A7" s="1" t="n"/>
      <c r="B7" s="10" t="inlineStr">
        <is>
          <t>Votre copie est à vous : nous ne voyons pas vos chiffres</t>
        </is>
      </c>
      <c r="C7" s="1" t="n"/>
      <c r="D7" s="1" t="n"/>
      <c r="E7" s="1" t="n"/>
      <c r="F7" s="1" t="n"/>
    </row>
    <row r="8" ht="15" customHeight="1">
      <c r="A8" s="1" t="n"/>
      <c r="B8" s="11">
        <f>"Cases remplies : "&amp;FIXED(Calculs!$B$37,0)&amp;" / 12 · résultat sous la case 12"</f>
        <v/>
      </c>
      <c r="C8" s="1" t="n"/>
      <c r="D8" s="1" t="n"/>
      <c r="E8" s="1" t="n"/>
      <c r="F8" s="1" t="n"/>
    </row>
    <row r="9" ht="4" customHeight="1">
      <c r="A9" s="1" t="n"/>
      <c r="B9" s="1" t="n"/>
      <c r="C9" s="1" t="n"/>
      <c r="D9" s="1" t="n"/>
      <c r="E9" s="1" t="n"/>
      <c r="F9" s="1" t="n"/>
    </row>
    <row r="10" ht="24" customHeight="1">
      <c r="A10" s="1" t="n"/>
      <c r="B10" s="12" t="inlineStr">
        <is>
          <t>?</t>
        </is>
      </c>
      <c r="C10" s="13" t="inlineStr">
        <is>
          <t>Vous gérez ce budget :</t>
        </is>
      </c>
      <c r="D10" s="14" t="n"/>
      <c r="E10" s="1" t="n"/>
      <c r="F10" s="1" t="n"/>
    </row>
    <row r="11" ht="15" customHeight="1">
      <c r="A11" s="1" t="n"/>
      <c r="B11" s="1" t="n"/>
      <c r="C11" s="15">
        <f>IF($D$10="À deux","À deux : tout le foyer, ou tout pour vous seul(e).","Cela change seulement la piste proposée à la fin.")</f>
        <v/>
      </c>
      <c r="D11" s="1" t="n"/>
      <c r="E11" s="1" t="n"/>
      <c r="F11" s="1" t="n"/>
    </row>
    <row r="12" ht="22" customHeight="1">
      <c r="A12" s="1" t="n"/>
      <c r="B12" s="16" t="inlineStr">
        <is>
          <t>Ce qui rentre</t>
        </is>
      </c>
      <c r="C12" s="17" t="n"/>
      <c r="D12" s="17" t="n"/>
      <c r="E12" s="1" t="n"/>
      <c r="F12" s="1" t="n"/>
    </row>
    <row r="13" ht="24" customHeight="1">
      <c r="A13" s="1" t="n"/>
      <c r="B13" s="18" t="n">
        <v>1</v>
      </c>
      <c r="C13" s="13" t="inlineStr">
        <is>
          <t>Vos revenus du mois</t>
        </is>
      </c>
      <c r="D13" s="19" t="n"/>
      <c r="E13" s="1" t="n"/>
      <c r="F13" s="1" t="n"/>
    </row>
    <row r="14" ht="27" customHeight="1">
      <c r="A14" s="1" t="n"/>
      <c r="B14" s="1" t="n"/>
      <c r="C14" s="15">
        <f>IF(ISTEXT(D13),"⚠ Case 1 : tapez un nombre, sans lettres ni €",IF(N(D13)&lt;0,"⚠ Case 1 : tapez un nombre, sans lettres ni €","Salaire, aides CAF, pension… Revenus irréguliers : la moyenne des 3 derniers mois."))</f>
        <v/>
      </c>
      <c r="D14" s="1" t="n"/>
      <c r="E14" s="1" t="n"/>
      <c r="F14" s="1" t="n"/>
    </row>
    <row r="15" ht="22" customHeight="1">
      <c r="A15" s="1" t="n"/>
      <c r="B15" s="16" t="inlineStr">
        <is>
          <t>Dépenses fixes</t>
        </is>
      </c>
      <c r="C15" s="17" t="n"/>
      <c r="D15" s="17" t="n"/>
      <c r="E15" s="1" t="n"/>
      <c r="F15" s="1" t="n"/>
    </row>
    <row r="16" ht="15" customHeight="1">
      <c r="A16" s="1" t="n"/>
      <c r="B16" s="20" t="inlineStr">
        <is>
          <t>Le même montant chaque mois.</t>
        </is>
      </c>
      <c r="C16" s="1" t="n"/>
      <c r="D16" s="1" t="n"/>
      <c r="E16" s="1" t="n"/>
      <c r="F16" s="1" t="n"/>
    </row>
    <row r="17" ht="24" customHeight="1">
      <c r="A17" s="1" t="n"/>
      <c r="B17" s="18" t="n">
        <v>2</v>
      </c>
      <c r="C17" s="13" t="inlineStr">
        <is>
          <t>Logement</t>
        </is>
      </c>
      <c r="D17" s="19" t="n"/>
      <c r="E17" s="1" t="n"/>
      <c r="F17" s="1" t="n"/>
    </row>
    <row r="18" ht="15" customHeight="1">
      <c r="A18" s="1" t="n"/>
      <c r="B18" s="1" t="n"/>
      <c r="C18" s="15">
        <f>IF(ISTEXT(D17),"⚠ Case 2 : tapez un nombre, sans lettres ni €",IF(N(D17)&lt;0,"⚠ Case 2 : tapez un nombre, sans lettres ni €","Loyer ou crédit immobilier, avec les charges."))</f>
        <v/>
      </c>
      <c r="D18" s="1" t="n"/>
      <c r="E18" s="1" t="n"/>
      <c r="F18" s="1" t="n"/>
    </row>
    <row r="19" ht="30" customHeight="1">
      <c r="A19" s="1" t="n"/>
      <c r="B19" s="18" t="n">
        <v>3</v>
      </c>
      <c r="C19" s="13" t="inlineStr">
        <is>
          <t>Énergie, eau, internet, téléphone</t>
        </is>
      </c>
      <c r="D19" s="19" t="n"/>
      <c r="E19" s="1" t="n"/>
      <c r="F19" s="1" t="n"/>
    </row>
    <row r="20" ht="15" customHeight="1">
      <c r="A20" s="1" t="n"/>
      <c r="B20" s="1" t="n"/>
      <c r="C20" s="15">
        <f>IF(ISTEXT(D19),"⚠ Case 3 : tapez un nombre, sans lettres ni €",IF(N(D19)&lt;0,"⚠ Case 3 : tapez un nombre, sans lettres ni €","Ex. : électricité, box, forfait mobile."))</f>
        <v/>
      </c>
      <c r="D20" s="1" t="n"/>
      <c r="E20" s="1" t="n"/>
      <c r="F20" s="1" t="n"/>
    </row>
    <row r="21" ht="24" customHeight="1">
      <c r="A21" s="1" t="n"/>
      <c r="B21" s="18" t="n">
        <v>4</v>
      </c>
      <c r="C21" s="13" t="inlineStr">
        <is>
          <t>Assurances et mutuelle</t>
        </is>
      </c>
      <c r="D21" s="19" t="n"/>
      <c r="E21" s="1" t="n"/>
      <c r="F21" s="1" t="n"/>
    </row>
    <row r="22" ht="15" customHeight="1">
      <c r="A22" s="1" t="n"/>
      <c r="B22" s="1" t="n"/>
      <c r="C22" s="15">
        <f>IF(ISTEXT(D21),"⚠ Case 4 : tapez un nombre, sans lettres ni €",IF(N(D21)&lt;0,"⚠ Case 4 : tapez un nombre, sans lettres ni €","Payée une fois par an ? Divisez par 12."))</f>
        <v/>
      </c>
      <c r="D22" s="1" t="n"/>
      <c r="E22" s="1" t="n"/>
      <c r="F22" s="1" t="n"/>
    </row>
    <row r="23" ht="24" customHeight="1">
      <c r="A23" s="1" t="n"/>
      <c r="B23" s="18" t="n">
        <v>5</v>
      </c>
      <c r="C23" s="13" t="inlineStr">
        <is>
          <t>Crédits (hors logement)</t>
        </is>
      </c>
      <c r="D23" s="19" t="n"/>
      <c r="E23" s="1" t="n"/>
      <c r="F23" s="1" t="n"/>
    </row>
    <row r="24" ht="15" customHeight="1">
      <c r="A24" s="1" t="n"/>
      <c r="B24" s="1" t="n"/>
      <c r="C24" s="15">
        <f>IF(ISTEXT(D23),"⚠ Case 5 : tapez un nombre, sans lettres ni €",IF(N(D23)&lt;0,"⚠ Case 5 : tapez un nombre, sans lettres ni €","Crédit auto, conso, paiements en 3 ou 4 fois."))</f>
        <v/>
      </c>
      <c r="D24" s="1" t="n"/>
      <c r="E24" s="1" t="n"/>
      <c r="F24" s="1" t="n"/>
    </row>
    <row r="25" ht="24" customHeight="1">
      <c r="A25" s="1" t="n"/>
      <c r="B25" s="18" t="n">
        <v>6</v>
      </c>
      <c r="C25" s="13" t="inlineStr">
        <is>
          <t>Abonnements</t>
        </is>
      </c>
      <c r="D25" s="19" t="n"/>
      <c r="E25" s="1" t="n"/>
      <c r="F25" s="1" t="n"/>
    </row>
    <row r="26" ht="15" customHeight="1">
      <c r="A26" s="1" t="n"/>
      <c r="B26" s="1" t="n"/>
      <c r="C26" s="15">
        <f>IF(ISTEXT(D25),"⚠ Case 6 : tapez un nombre, sans lettres ni €",IF(N(D25)&lt;0,"⚠ Case 6 : tapez un nombre, sans lettres ni €","Streaming, sport, applis…"))</f>
        <v/>
      </c>
      <c r="D26" s="1" t="n"/>
      <c r="E26" s="1" t="n"/>
      <c r="F26" s="1" t="n"/>
    </row>
    <row r="27" ht="22" customHeight="1">
      <c r="A27" s="1" t="n"/>
      <c r="B27" s="16" t="inlineStr">
        <is>
          <t>Dépenses qui varient</t>
        </is>
      </c>
      <c r="C27" s="17" t="n"/>
      <c r="D27" s="17" t="n"/>
      <c r="E27" s="1" t="n"/>
      <c r="F27" s="1" t="n"/>
    </row>
    <row r="28" ht="24" customHeight="1">
      <c r="A28" s="1" t="n"/>
      <c r="B28" s="18" t="n">
        <v>7</v>
      </c>
      <c r="C28" s="13" t="inlineStr">
        <is>
          <t>Courses</t>
        </is>
      </c>
      <c r="D28" s="19" t="n"/>
      <c r="E28" s="1" t="n"/>
      <c r="F28" s="1" t="n"/>
    </row>
    <row r="29" ht="15" customHeight="1">
      <c r="A29" s="1" t="n"/>
      <c r="B29" s="1" t="n"/>
      <c r="C29" s="15">
        <f>IF(ISTEXT(D28),"⚠ Case 7 : tapez un nombre, sans lettres ni €",IF(N(D28)&lt;0,"⚠ Case 7 : tapez un nombre, sans lettres ni €","Alimentation, hygiène. Une estimation suffit."))</f>
        <v/>
      </c>
      <c r="D29" s="1" t="n"/>
      <c r="E29" s="1" t="n"/>
      <c r="F29" s="1" t="n"/>
    </row>
    <row r="30" ht="24" customHeight="1">
      <c r="A30" s="1" t="n"/>
      <c r="B30" s="18" t="n">
        <v>8</v>
      </c>
      <c r="C30" s="13" t="inlineStr">
        <is>
          <t>Transports</t>
        </is>
      </c>
      <c r="D30" s="19" t="n"/>
      <c r="E30" s="1" t="n"/>
      <c r="F30" s="1" t="n"/>
    </row>
    <row r="31" ht="15" customHeight="1">
      <c r="A31" s="1" t="n"/>
      <c r="B31" s="1" t="n"/>
      <c r="C31" s="15">
        <f>IF(ISTEXT(D30),"⚠ Case 8 : tapez un nombre, sans lettres ni €",IF(N(D30)&lt;0,"⚠ Case 8 : tapez un nombre, sans lettres ni €","Carburant, transports en commun, péage."))</f>
        <v/>
      </c>
      <c r="D31" s="1" t="n"/>
      <c r="E31" s="1" t="n"/>
      <c r="F31" s="1" t="n"/>
    </row>
    <row r="32" ht="24" customHeight="1">
      <c r="A32" s="1" t="n"/>
      <c r="B32" s="18" t="n">
        <v>9</v>
      </c>
      <c r="C32" s="13" t="inlineStr">
        <is>
          <t>Autres dépenses</t>
        </is>
      </c>
      <c r="D32" s="19" t="n"/>
      <c r="E32" s="1" t="n"/>
      <c r="F32" s="1" t="n"/>
    </row>
    <row r="33" ht="15" customHeight="1">
      <c r="A33" s="1" t="n"/>
      <c r="B33" s="1" t="n"/>
      <c r="C33" s="15">
        <f>IF(ISTEXT(D32),"⚠ Case 9 : tapez un nombre, sans lettres ni €",IF(N(D32)&lt;0,"⚠ Case 9 : tapez un nombre, sans lettres ni €","Sorties, restaurants, vêtements, loisirs."))</f>
        <v/>
      </c>
      <c r="D33" s="1" t="n"/>
      <c r="E33" s="1" t="n"/>
      <c r="F33" s="1" t="n"/>
    </row>
    <row r="34" ht="22" customHeight="1">
      <c r="A34" s="1" t="n"/>
      <c r="B34" s="16" t="inlineStr">
        <is>
          <t>Ce que vous mettez de côté</t>
        </is>
      </c>
      <c r="C34" s="17" t="n"/>
      <c r="D34" s="17" t="n"/>
      <c r="E34" s="1" t="n"/>
      <c r="F34" s="1" t="n"/>
    </row>
    <row r="35" ht="24" customHeight="1">
      <c r="A35" s="1" t="n"/>
      <c r="B35" s="18" t="n">
        <v>10</v>
      </c>
      <c r="C35" s="13" t="inlineStr">
        <is>
          <t>Épargne virée chaque mois</t>
        </is>
      </c>
      <c r="D35" s="19" t="n"/>
      <c r="E35" s="1" t="n"/>
      <c r="F35" s="1" t="n"/>
    </row>
    <row r="36" ht="15" customHeight="1">
      <c r="A36" s="1" t="n"/>
      <c r="B36" s="1" t="n"/>
      <c r="C36" s="15">
        <f>IF(ISTEXT(D35),"⚠ Case 10 : tapez un nombre, sans lettres ni €",IF(N(D35)&lt;0,"⚠ Case 10 : tapez un nombre, sans lettres ni €","Livret, etc. Rien ? Laissez vide ou 0."))</f>
        <v/>
      </c>
      <c r="D36" s="1" t="n"/>
      <c r="E36" s="1" t="n"/>
      <c r="F36" s="1" t="n"/>
    </row>
    <row r="37" ht="22" customHeight="1">
      <c r="A37" s="1" t="n"/>
      <c r="B37" s="16" t="inlineStr">
        <is>
          <t>Ce que montre votre compte</t>
        </is>
      </c>
      <c r="C37" s="17" t="n"/>
      <c r="D37" s="17" t="n"/>
      <c r="E37" s="1" t="n"/>
      <c r="F37" s="1" t="n"/>
    </row>
    <row r="38" ht="24" customHeight="1">
      <c r="A38" s="1" t="n"/>
      <c r="B38" s="18" t="n">
        <v>11</v>
      </c>
      <c r="C38" s="13" t="inlineStr">
        <is>
          <t>Solde du compte aujourd'hui</t>
        </is>
      </c>
      <c r="D38" s="19" t="n"/>
      <c r="E38" s="1" t="n"/>
      <c r="F38" s="1" t="n"/>
    </row>
    <row r="39" ht="15" customHeight="1">
      <c r="A39" s="1" t="n"/>
      <c r="B39" s="1" t="n"/>
      <c r="C39" s="15">
        <f>IF(ISTEXT(D38),"⚠ Case 11 : tapez un nombre, sans lettres ni €","Découvert : tapez le montant avec le signe −.")</f>
        <v/>
      </c>
      <c r="D39" s="1" t="n"/>
      <c r="E39" s="1" t="n"/>
      <c r="F39" s="1" t="n"/>
    </row>
    <row r="40" ht="30" customHeight="1">
      <c r="A40" s="1" t="n"/>
      <c r="B40" s="18" t="n">
        <v>12</v>
      </c>
      <c r="C40" s="13" t="inlineStr">
        <is>
          <t>Solde il y a 3 mois, même jour</t>
        </is>
      </c>
      <c r="D40" s="19" t="n"/>
      <c r="E40" s="1" t="n"/>
      <c r="F40" s="1" t="n"/>
    </row>
    <row r="41" ht="15" customHeight="1">
      <c r="A41" s="1" t="n"/>
      <c r="B41" s="1" t="n"/>
      <c r="C41" s="15">
        <f>IF(ISTEXT(D40),"⚠ Case 12 : tapez un nombre, sans lettres ni €","Historique de l'appli bancaire, même jour du mois.")</f>
        <v/>
      </c>
      <c r="D41" s="1" t="n"/>
      <c r="E41" s="1" t="n"/>
      <c r="F41" s="1" t="n"/>
    </row>
    <row r="42" ht="10" customHeight="1">
      <c r="A42" s="1" t="n"/>
      <c r="B42" s="1" t="n"/>
      <c r="C42" s="1" t="n"/>
      <c r="D42" s="1" t="n"/>
      <c r="E42" s="1" t="n"/>
      <c r="F42" s="1" t="n"/>
    </row>
    <row r="43" ht="24" customHeight="1">
      <c r="A43" s="1" t="n"/>
      <c r="B43" s="21" t="inlineStr">
        <is>
          <t>Votre diagnostic</t>
        </is>
      </c>
      <c r="C43" s="1" t="n"/>
      <c r="D43" s="1" t="n"/>
      <c r="E43" s="1" t="n"/>
      <c r="F43" s="1" t="n"/>
    </row>
    <row r="44" ht="4" customHeight="1">
      <c r="A44" s="1" t="n"/>
      <c r="B44" s="6" t="n"/>
      <c r="C44" s="6" t="n"/>
      <c r="D44" s="6" t="n"/>
      <c r="E44" s="1" t="n"/>
      <c r="F44" s="1" t="n"/>
    </row>
    <row r="45" ht="15" customHeight="1">
      <c r="A45" s="1" t="n"/>
      <c r="B45" s="22">
        <f>IF(Calculs!$B$65=0,"Votre résultat s'affichera ici",IF(Calculs!$B$65=1,"Votre résultat s'affichera ici",IF(Calculs!$B$65=3,"Votre résultat s'affichera ici","Argent non identifié, chaque mois")))</f>
        <v/>
      </c>
      <c r="C45" s="23" t="n"/>
      <c r="D45" s="24" t="n"/>
      <c r="E45" s="1" t="n"/>
      <c r="F45" s="1" t="n"/>
    </row>
    <row r="46" ht="26" customHeight="1">
      <c r="A46" s="1" t="n"/>
      <c r="B46" s="25">
        <f>IF(Calculs!$B$66=1,"environ "&amp;Calculs!$B$69&amp;" € par mois","—")</f>
        <v/>
      </c>
      <c r="C46" s="26" t="n"/>
      <c r="D46" s="27" t="n"/>
      <c r="E46" s="1" t="n"/>
      <c r="F46" s="1" t="n"/>
    </row>
    <row r="47" ht="17" customHeight="1">
      <c r="A47" s="1" t="n"/>
      <c r="B47" s="28">
        <f>IF(Calculs!$B$38&gt;0,"⚠ À corriger : case "&amp;FIXED(Calculs!$B$38,0),IF(Calculs!$B$65=0,"Remplissez les cases 1 à 12",IF(Calculs!$B$65=1,"Indiquez vos revenus (case 1)",IF(Calculs!$B$65=3,"Remplissez vos dépenses (cases 2 à 9)",IF(Calculs!$B$42=0,"Ajoutez vos deux soldes (cases 11 et 12)",IF(Calculs!$B$66=0,"Indiquez vos revenus (case 1)",Calculs!$B$80))))))</f>
        <v/>
      </c>
      <c r="C47" s="29" t="n"/>
      <c r="D47" s="30" t="n"/>
      <c r="E47" s="1" t="n"/>
      <c r="F47" s="1" t="n"/>
    </row>
    <row r="48" ht="43" customHeight="1">
      <c r="A48" s="1" t="n"/>
      <c r="B48" s="31">
        <f>IF(Calculs!$B$68=0,Calculs!$B$153,IF(Calculs!$B$68&lt;=7,HYPERLINK(INDEX(Calculs!$B$116:$B$122,Calculs!$B$68),INDEX(Calculs!$B$137:$B$143,Calculs!$B$68)),""))</f>
        <v/>
      </c>
      <c r="C48" s="1" t="n"/>
      <c r="D48" s="1" t="n"/>
      <c r="E48" s="1" t="n"/>
      <c r="F48" s="1" t="n"/>
    </row>
    <row r="49" ht="20" customHeight="1">
      <c r="A49" s="1" t="n"/>
      <c r="B49" s="32" t="inlineStr">
        <is>
          <t>Dépenses fixes</t>
        </is>
      </c>
      <c r="C49" s="33" t="n"/>
      <c r="D49" s="34">
        <f>IF(Calculs!$B$65&lt;=1,"—",IF(Calculs!$B$44&gt;0,Calculs!$B$73&amp;" % revenus","—"))</f>
        <v/>
      </c>
      <c r="E49" s="1" t="n"/>
      <c r="F49" s="1" t="n"/>
    </row>
    <row r="50" ht="20" customHeight="1">
      <c r="A50" s="1" t="n"/>
      <c r="B50" s="32" t="inlineStr">
        <is>
          <t>Il devrait vous rester, par mois</t>
        </is>
      </c>
      <c r="C50" s="33" t="n"/>
      <c r="D50" s="35">
        <f>IF(Calculs!$B$65=2,ROUND(Calculs!$B$52,0)+0,IF(Calculs!$B$65=4,ROUND(Calculs!$B$52,0)+0,IF(Calculs!$B$65=5,ROUND(Calculs!$B$52,0)+0,"—")))</f>
        <v/>
      </c>
      <c r="E50" s="1" t="n"/>
      <c r="F50" s="1" t="n"/>
    </row>
    <row r="51" ht="20" customHeight="1">
      <c r="A51" s="1" t="n"/>
      <c r="B51" s="32" t="inlineStr">
        <is>
          <t>Votre compte varie, par mois</t>
        </is>
      </c>
      <c r="C51" s="33" t="n"/>
      <c r="D51" s="36">
        <f>IF(Calculs!$B$42=1,IF(Calculs!$B$65=2,ROUND(Calculs!$B$53,0)+0,IF(Calculs!$B$65=5,ROUND(Calculs!$B$53,0)+0,"—")),"—")</f>
        <v/>
      </c>
      <c r="E51" s="1" t="n"/>
      <c r="F51" s="1" t="n"/>
    </row>
    <row r="52" ht="20" customHeight="1">
      <c r="A52" s="1" t="n"/>
      <c r="B52" s="37" t="inlineStr">
        <is>
          <t>Épargne réelle, par mois</t>
        </is>
      </c>
      <c r="C52" s="38" t="n"/>
      <c r="D52" s="39">
        <f>IF(Calculs!$B$42=1,IF(Calculs!$B$65=2,ROUND(Calculs!$B$58,0)+0,IF(Calculs!$B$65=5,ROUND(Calculs!$B$58,0)+0,"—")),"—")</f>
        <v/>
      </c>
      <c r="E52" s="1" t="n"/>
      <c r="F52" s="1" t="n"/>
    </row>
    <row r="53" ht="22" customHeight="1">
      <c r="A53" s="1" t="n"/>
      <c r="B53" s="16" t="inlineStr">
        <is>
          <t>Ce que cela veut dire</t>
        </is>
      </c>
      <c r="C53" s="17" t="n"/>
      <c r="D53" s="17" t="n"/>
      <c r="E53" s="1" t="n"/>
      <c r="F53" s="1" t="n"/>
    </row>
    <row r="54" ht="121" customHeight="1">
      <c r="A54" s="1" t="n"/>
      <c r="B54" s="40">
        <f>Calculs!$B$79</f>
        <v/>
      </c>
      <c r="C54" s="1" t="n"/>
      <c r="D54" s="1" t="n"/>
      <c r="E54" s="1" t="n"/>
      <c r="F54" s="1" t="n"/>
    </row>
    <row r="55" ht="22" customHeight="1">
      <c r="A55" s="1" t="n"/>
      <c r="B55" s="16" t="inlineStr">
        <is>
          <t>3 pistes pour commencer</t>
        </is>
      </c>
      <c r="C55" s="17" t="n"/>
      <c r="D55" s="17" t="n"/>
      <c r="E55" s="1" t="n"/>
      <c r="F55" s="1" t="n"/>
    </row>
    <row r="56" ht="43" customHeight="1">
      <c r="A56" s="1" t="n"/>
      <c r="B56" s="41">
        <f>IF(C56="","",1)</f>
        <v/>
      </c>
      <c r="C56" s="40">
        <f>Calculs!$B$106</f>
        <v/>
      </c>
      <c r="D56" s="1" t="n"/>
      <c r="E56" s="1" t="n"/>
      <c r="F56" s="1" t="n"/>
    </row>
    <row r="57" ht="43" customHeight="1">
      <c r="A57" s="1" t="n"/>
      <c r="B57" s="41">
        <f>IF(C57="","",2)</f>
        <v/>
      </c>
      <c r="C57" s="40">
        <f>Calculs!$B$107</f>
        <v/>
      </c>
      <c r="D57" s="1" t="n"/>
      <c r="E57" s="1" t="n"/>
      <c r="F57" s="1" t="n"/>
    </row>
    <row r="58" ht="43" customHeight="1">
      <c r="A58" s="1" t="n"/>
      <c r="B58" s="41">
        <f>IF(C58="","",3)</f>
        <v/>
      </c>
      <c r="C58" s="40">
        <f>Calculs!$B$108</f>
        <v/>
      </c>
      <c r="D58" s="1" t="n"/>
      <c r="E58" s="1" t="n"/>
      <c r="F58" s="1" t="n"/>
    </row>
    <row r="59" ht="27" customHeight="1">
      <c r="A59" s="1" t="n"/>
      <c r="B59" s="42">
        <f>IF(Calculs!$B$68=0,"Suite : des aides gratuites, onglet « Et ensuite ? », en bas de l'écran sur téléphone.",IF(Calculs!$B$38&gt;0,"Suite : onglet « Et ensuite ? », en bas de l'écran sur téléphone.",IF(Calculs!$B$65=4,"Ajoutez vos deux soldes (cases 11 et 12) : la suite dépend de votre résultat.",IF(Calculs!$B$65=5,IF(Calculs!$B$68&lt;=2,IF(Calculs!$B$61=1,"Où partent vos "&amp;Calculs!$B$69&amp;" € ? Suite : onglet « Et ensuite ? », en bas de l'écran sur téléphone.","Suite : notre piste selon votre résultat, onglet « Et ensuite ? », en bas de l'écran sur téléphone."),"Suite : notre piste selon votre résultat, onglet « Et ensuite ? », en bas de l'écran sur téléphone."),"Suite : onglet « Et ensuite ? », en bas de l'écran sur téléphone."))))</f>
        <v/>
      </c>
      <c r="C59" s="1" t="n"/>
      <c r="D59" s="1" t="n"/>
      <c r="E59" s="1" t="n"/>
      <c r="F59" s="1" t="n"/>
    </row>
    <row r="60" ht="27" customHeight="1">
      <c r="A60" s="1" t="n"/>
      <c r="B60" s="9" t="inlineStr">
        <is>
          <t>Outil éducatif gratuit, pas un conseil financier. Les résultats sont des estimations à partir de vos chiffres.</t>
        </is>
      </c>
      <c r="C60" s="1" t="n"/>
      <c r="D60" s="1" t="n"/>
      <c r="E60" s="1" t="n"/>
      <c r="F60" s="1" t="n"/>
    </row>
  </sheetData>
  <mergeCells count="43">
    <mergeCell ref="C6:D6"/>
    <mergeCell ref="C24:D24"/>
    <mergeCell ref="B60:D60"/>
    <mergeCell ref="B48:D48"/>
    <mergeCell ref="C33:D33"/>
    <mergeCell ref="B1:D1"/>
    <mergeCell ref="B8:D8"/>
    <mergeCell ref="C58:D58"/>
    <mergeCell ref="C14:D14"/>
    <mergeCell ref="B53:D53"/>
    <mergeCell ref="C26:D26"/>
    <mergeCell ref="B34:D34"/>
    <mergeCell ref="C20:D20"/>
    <mergeCell ref="B52:C52"/>
    <mergeCell ref="B37:D37"/>
    <mergeCell ref="C29:D29"/>
    <mergeCell ref="C41:D41"/>
    <mergeCell ref="C22:D22"/>
    <mergeCell ref="B15:D15"/>
    <mergeCell ref="C31:D31"/>
    <mergeCell ref="B55:D55"/>
    <mergeCell ref="C56:D56"/>
    <mergeCell ref="B5:D5"/>
    <mergeCell ref="B43:D43"/>
    <mergeCell ref="B45:D45"/>
    <mergeCell ref="C11:D11"/>
    <mergeCell ref="C36:D36"/>
    <mergeCell ref="B7:D7"/>
    <mergeCell ref="B49:C49"/>
    <mergeCell ref="C39:D39"/>
    <mergeCell ref="B16:D16"/>
    <mergeCell ref="B47:D47"/>
    <mergeCell ref="B54:D54"/>
    <mergeCell ref="B3:D3"/>
    <mergeCell ref="B59:D59"/>
    <mergeCell ref="B46:D46"/>
    <mergeCell ref="B51:C51"/>
    <mergeCell ref="C57:D57"/>
    <mergeCell ref="B27:D27"/>
    <mergeCell ref="B50:C50"/>
    <mergeCell ref="C18:D18"/>
    <mergeCell ref="B12:D12"/>
    <mergeCell ref="B2:D2"/>
  </mergeCells>
  <conditionalFormatting sqref="D13 D17 D19 D21 D23 D25 D28 D30 D32 D35">
    <cfRule type="expression" priority="1" dxfId="0" stopIfTrue="1">
      <formula>OR(ISTEXT(D13),N(D13)&lt;0)</formula>
    </cfRule>
  </conditionalFormatting>
  <conditionalFormatting sqref="D38 D40">
    <cfRule type="expression" priority="2" dxfId="0" stopIfTrue="1">
      <formula>ISTEXT(D38)</formula>
    </cfRule>
  </conditionalFormatting>
  <conditionalFormatting sqref="C14:D14 C18:D18 C20:D20 C22:D22 C24:D24 C26:D26 C29:D29 C31:D31 C33:D33 C36:D36 C39:D39 C41:D41">
    <cfRule type="expression" priority="3" dxfId="1" stopIfTrue="1">
      <formula>LEFT(C14,1)="⚠"</formula>
    </cfRule>
  </conditionalFormatting>
  <conditionalFormatting sqref="B46:D46">
    <cfRule type="expression" priority="4" dxfId="2" stopIfTrue="1">
      <formula>B46="—"</formula>
    </cfRule>
  </conditionalFormatting>
  <conditionalFormatting sqref="B47:D47">
    <cfRule type="expression" priority="5" dxfId="3" stopIfTrue="1">
      <formula>LEFT(B47,1)="⚠"</formula>
    </cfRule>
    <cfRule type="expression" priority="6" dxfId="4" stopIfTrue="1">
      <formula>LEFT(B47,1)="✔"</formula>
    </cfRule>
  </conditionalFormatting>
  <conditionalFormatting sqref="B48:D48">
    <cfRule type="expression" priority="7" dxfId="5" stopIfTrue="1">
      <formula>$F$1=0</formula>
    </cfRule>
    <cfRule type="expression" priority="8" dxfId="6" stopIfTrue="1">
      <formula>AND($F$1&gt;=1,$F$1&lt;=7)</formula>
    </cfRule>
  </conditionalFormatting>
  <conditionalFormatting sqref="B56:B58">
    <cfRule type="expression" priority="9" dxfId="7" stopIfTrue="1">
      <formula>$C56&lt;&gt;""</formula>
    </cfRule>
  </conditionalFormatting>
  <conditionalFormatting sqref="B5:D5">
    <cfRule type="expression" priority="10" dxfId="3" stopIfTrue="1">
      <formula>LEFT($B$5,1)="⚠"</formula>
    </cfRule>
  </conditionalFormatting>
  <dataValidations count="3">
    <dataValidation sqref="D10" showDropDown="0" showInputMessage="1" showErrorMessage="1" allowBlank="1" errorTitle="Seul(e) ou à deux" error="Choisissez Seul(e) ou À deux dans la liste." promptTitle="Seul(e) ou à deux" prompt="Choisissez dans la liste : Seul(e) ou À deux. Vide = Seul(e)." type="list" errorStyle="stop">
      <formula1>"Seul(e),À deux"</formula1>
    </dataValidation>
    <dataValidation sqref="D13 D17 D19 D21 D23 D25 D28 D30 D32 D35" showDropDown="0" showInputMessage="1" showErrorMessage="1" allowBlank="1" errorTitle="Montant" error="Tapez un montant positif, en chiffres, sans € ni lettres. Exemple : 560" promptTitle="Montant" prompt="Tapez un montant positif, en chiffres, sans € ni lettres. Exemple : 560" type="decimal" errorStyle="stop" operator="greaterThanOrEqual">
      <formula1>0</formula1>
    </dataValidation>
    <dataValidation sqref="D38 D40" showDropDown="0" showInputMessage="1" showErrorMessage="1" allowBlank="1" errorTitle="Solde" error="Tapez le solde en chiffres. Découvert : avec le signe −, par exemple −120" promptTitle="Solde" prompt="Tapez le solde en chiffres. Découvert : avec le signe −, par exemple −120" type="decimal" errorStyle="stop" operator="between">
      <formula1>-999999999</formula1>
      <formula2>999999999</formula2>
    </dataValidation>
  </dataValidations>
  <hyperlinks>
    <hyperlink ref="B59" location="'Et ensuite'!A1"/>
  </hyperlinks>
  <pageMargins left="0.75" right="0.75" top="1" bottom="1" header="0.5" footer="0.5"/>
  <pageSetup orientation="portrait" fitToHeight="0"/>
</worksheet>
</file>

<file path=xl/worksheets/sheet2.xml><?xml version="1.0" encoding="utf-8"?>
<worksheet xmlns="http://schemas.openxmlformats.org/spreadsheetml/2006/main">
  <sheetPr>
    <tabColor rgb="000F3D2E"/>
    <outlinePr summaryBelow="1" summaryRight="1"/>
    <pageSetUpPr fitToPage="1"/>
  </sheetPr>
  <dimension ref="A1:F18"/>
  <sheetViews>
    <sheetView showGridLines="0" tabSelected="0" workbookViewId="0">
      <selection activeCell="A1" sqref="A1"/>
    </sheetView>
  </sheetViews>
  <sheetFormatPr baseColWidth="8" defaultRowHeight="15"/>
  <cols>
    <col width="2" customWidth="1" min="1" max="1"/>
    <col width="4" customWidth="1" min="2" max="2"/>
    <col width="28" customWidth="1" min="3" max="3"/>
    <col width="14" customWidth="1" min="4" max="4"/>
    <col hidden="1" width="6" customWidth="1" min="6" max="6"/>
  </cols>
  <sheetData>
    <row r="1" ht="30" customHeight="1">
      <c r="A1" s="1" t="n"/>
      <c r="B1" s="43" t="inlineStr">
        <is>
          <t>Et ensuite ?</t>
        </is>
      </c>
      <c r="C1" s="1" t="n"/>
      <c r="D1" s="1" t="n"/>
      <c r="E1" s="1" t="n"/>
      <c r="F1" s="3">
        <f>Calculs!$B$68</f>
        <v/>
      </c>
    </row>
    <row r="2" ht="18" customHeight="1">
      <c r="A2" s="1" t="n"/>
      <c r="B2" s="44" t="inlineStr">
        <is>
          <t>Une piste selon votre résultat. Rien à remplir ici.</t>
        </is>
      </c>
      <c r="C2" s="1" t="n"/>
      <c r="D2" s="1" t="n"/>
      <c r="E2" s="1" t="n"/>
      <c r="F2" s="1" t="n"/>
    </row>
    <row r="3" ht="4" customHeight="1">
      <c r="A3" s="1" t="n"/>
      <c r="B3" s="6" t="n"/>
      <c r="C3" s="6" t="n"/>
      <c r="D3" s="6" t="n"/>
      <c r="E3" s="1" t="n"/>
      <c r="F3" s="1" t="n"/>
    </row>
    <row r="4" ht="43" customHeight="1">
      <c r="A4" s="1" t="n"/>
      <c r="B4" s="45">
        <f>IF(Calculs!$B$154=0,"⚠ Une case de résultat a été modifiée : refaites une copie depuis le lien d'origine.",IF(Calculs!$B$68=0,"Votre résultat : vos dépenses dépassent vos revenus, ou votre compte est à découvert.",IF(Calculs!$B$68=8,IF(Calculs!$B$38&gt;0,"Votre résultat apparaîtra ici quand la case signalée par ⚠ sera corrigée.","Votre résultat apparaîtra ici quand vous aurez rempli l'onglet « Mon diagnostic »."),IF(Calculs!$B$68=9,"Votre résultat apparaîtra ici quand vous aurez ajouté vos deux soldes.",IF(Calculs!$B$61=1,"Votre résultat : environ "&amp;Calculs!$B$69&amp;" € par mois sortent sans que vous les ayez comptés. Où partent-ils ?",IF(Calculs!$B$62=1,"Votre résultat : votre compte fait mieux que vos estimations, d'environ "&amp;Calculs!$B$69&amp;" € par mois.","Votre résultat : vos estimations sont proches de la réalité."))))))</f>
        <v/>
      </c>
      <c r="C4" s="46" t="n"/>
      <c r="D4" s="46" t="n"/>
      <c r="E4" s="1" t="n"/>
      <c r="F4" s="1" t="n"/>
    </row>
    <row r="5" ht="8" customHeight="1">
      <c r="A5" s="1" t="n"/>
      <c r="B5" s="1" t="n"/>
      <c r="C5" s="1" t="n"/>
      <c r="D5" s="1" t="n"/>
      <c r="E5" s="1" t="n"/>
      <c r="F5" s="1" t="n"/>
    </row>
    <row r="6" ht="18" customHeight="1">
      <c r="A6" s="1" t="n"/>
      <c r="B6" s="47">
        <f>IF(Calculs!$B$68=0,"À lire : de l'aide gratuite existe",IF(Calculs!$B$68&gt;=8,"Votre piste apparaîtra ici","Notre piste pour vous"))</f>
        <v/>
      </c>
      <c r="C6" s="48" t="n"/>
      <c r="D6" s="49" t="n"/>
      <c r="E6" s="1" t="n"/>
      <c r="F6" s="1" t="n"/>
    </row>
    <row r="7" ht="22" customHeight="1">
      <c r="A7" s="1" t="n"/>
      <c r="B7" s="50">
        <f>IF(Calculs!$B$68=0,"Des aides gratuites et confidentielles",IF(Calculs!$B$68&gt;=8,"",INDEX(Calculs!$B$109:$B$115,Calculs!$B$68)))</f>
        <v/>
      </c>
      <c r="C7" s="1" t="n"/>
      <c r="D7" s="51" t="n"/>
      <c r="E7" s="1" t="n"/>
      <c r="F7" s="1" t="n"/>
    </row>
    <row r="8" ht="56" customHeight="1">
      <c r="A8" s="1" t="n"/>
      <c r="B8" s="52">
        <f>IF(Calculs!$B$68=0,"Vos dépenses dépassent vos revenus, ou votre compte est à découvert. Ce n'est pas un échec : parlez-en tôt. Ces aides sont gratuites et confidentielles.",IF(Calculs!$B$68=8,IF(Calculs!$B$38&gt;0,"Corrigez d'abord la case signalée par ⚠ dans « Mon diagnostic » : la piste proposée ici dépend de votre résultat.","Faites d'abord le diagnostic dans l'onglet « Mon diagnostic » : la piste proposée ici dépend de votre résultat."),IF(Calculs!$B$68=9,"Ajoutez vos deux soldes (cases 11 et 12) dans « Mon diagnostic » : sans eux, l'écart ne peut pas être mesuré, et nous ne proposons rien.",INDEX(Calculs!$B$144:$B$150,Calculs!$B$68))))</f>
        <v/>
      </c>
      <c r="C8" s="1" t="n"/>
      <c r="D8" s="51" t="n"/>
      <c r="E8" s="1" t="n"/>
      <c r="F8" s="1" t="n"/>
    </row>
    <row r="9" ht="16" customHeight="1">
      <c r="A9" s="1" t="n"/>
      <c r="B9" s="53">
        <f>IF(Calculs!$B$68=0,"•",IF(Calculs!$B$68&lt;=7,"✓",""))</f>
        <v/>
      </c>
      <c r="C9" s="54">
        <f>IF(Calculs!$B$68=0,"Points conseil budget : gratuits, confidentiels",IF(Calculs!$B$68&gt;7,"",IF(Calculs!$B$68=5,"Tableurs à cases jaunes, comme ici","Cases jaunes, comme ici : tout se calcule")))</f>
        <v/>
      </c>
      <c r="D9" s="51" t="n"/>
      <c r="E9" s="1" t="n"/>
      <c r="F9" s="1" t="n"/>
    </row>
    <row r="10" ht="16" customHeight="1">
      <c r="A10" s="1" t="n"/>
      <c r="B10" s="53">
        <f>IF(Calculs!$B$68=0,"•",IF(Calculs!$B$68&lt;=7,"✓",""))</f>
        <v/>
      </c>
      <c r="C10" s="54">
        <f>IF(Calculs!$B$68=0,"Où : mesquestionsdargent.fr, mairie ou CAF",IF(Calculs!$B$68&gt;7,"",IF(Calculs!$B$68=5,"Excel, Google Sheets et grilles à imprimer","Excel et Google Sheets, guide en français")))</f>
        <v/>
      </c>
      <c r="D10" s="51" t="n"/>
      <c r="E10" s="1" t="n"/>
      <c r="F10" s="1" t="n"/>
    </row>
    <row r="11" ht="16" customHeight="1">
      <c r="A11" s="1" t="n"/>
      <c r="B11" s="53">
        <f>IF(Calculs!$B$68=0,"•",IF(Calculs!$B$68&lt;=7,"✓",""))</f>
        <v/>
      </c>
      <c r="C11" s="54">
        <f>IF(Calculs!$B$68=0,"Dettes trop lourdes : Banque de France, 34 14",IF(Calculs!$B$68&gt;7,"",IF(Calculs!$B$68=5,"Paiement unique, un guide par outil","Paiement unique, sans abonnement")))</f>
        <v/>
      </c>
      <c r="D11" s="51" t="n"/>
      <c r="E11" s="1" t="n"/>
      <c r="F11" s="1" t="n"/>
    </row>
    <row r="12" ht="30" customHeight="1">
      <c r="A12" s="1" t="n"/>
      <c r="B12" s="55">
        <f>IF(Calculs!$B$68=0,HYPERLINK(Calculs!$B$152,"Se faire aider : mesquestionsdargent.fr"),IF(Calculs!$B$68&lt;=7,HYPERLINK(INDEX(Calculs!$B$116:$B$122,Calculs!$B$68),"Voir cet outil sur notre boutique Etsy"),""))</f>
        <v/>
      </c>
      <c r="C12" s="56" t="n"/>
      <c r="D12" s="57" t="n"/>
      <c r="E12" s="1" t="n"/>
      <c r="F12" s="1" t="n"/>
    </row>
    <row r="13" ht="8" customHeight="1">
      <c r="A13" s="1" t="n"/>
      <c r="B13" s="1" t="n"/>
      <c r="C13" s="1" t="n"/>
      <c r="D13" s="1" t="n"/>
      <c r="E13" s="1" t="n"/>
      <c r="F13" s="1" t="n"/>
    </row>
    <row r="14" ht="27" customHeight="1">
      <c r="A14" s="1" t="n"/>
      <c r="B14" s="58">
        <f>IF(Calculs!$B$68&gt;=1,IF(Calculs!$B$68&lt;=7,HYPERLINK(INDEX(Calculs!$B$130:$B$136,Calculs!$B$68),INDEX(Calculs!$B$123:$B$129,Calculs!$B$68)),""),"")</f>
        <v/>
      </c>
      <c r="C14" s="1" t="n"/>
      <c r="D14" s="1" t="n"/>
      <c r="E14" s="1" t="n"/>
      <c r="F14" s="1" t="n"/>
    </row>
    <row r="15" ht="30" customHeight="1">
      <c r="A15" s="1" t="n"/>
      <c r="B15" s="15" t="inlineStr">
        <is>
          <t>Vous pouvez aussi commencer avec un carnet ou l'appli de votre banque : l'important est de noter vos dépenses.</t>
        </is>
      </c>
      <c r="C15" s="1" t="n"/>
      <c r="D15" s="1" t="n"/>
      <c r="E15" s="1" t="n"/>
      <c r="F15" s="1" t="n"/>
    </row>
    <row r="16" ht="27" customHeight="1">
      <c r="A16" s="1" t="n"/>
      <c r="B16" s="59">
        <f>HYPERLINK(Calculs!$B$152,"Besoin d'aide sur votre budget ? Points conseil budget (gratuit) : mesquestionsdargent.fr")</f>
        <v/>
      </c>
      <c r="C16" s="1" t="n"/>
      <c r="D16" s="1" t="n"/>
      <c r="E16" s="1" t="n"/>
      <c r="F16" s="1" t="n"/>
    </row>
    <row r="17" ht="27" customHeight="1">
      <c r="A17" s="1" t="n"/>
      <c r="B17" s="15" t="inlineStr">
        <is>
          <t>Outil éducatif gratuit, pas un conseil financier. Les résultats sont des estimations à partir de vos chiffres.</t>
        </is>
      </c>
      <c r="C17" s="1" t="n"/>
      <c r="D17" s="1" t="n"/>
      <c r="E17" s="1" t="n"/>
      <c r="F17" s="1" t="n"/>
    </row>
    <row r="18" ht="15" customHeight="1">
      <c r="A18" s="1" t="n"/>
      <c r="B18" s="60">
        <f>IF(Calculs!$B$68&gt;=1,IF(Calculs!$B$68&lt;=7,HYPERLINK(Calculs!$B$151,"La boutique SmartWealthLab sur Etsy"),""),"")</f>
        <v/>
      </c>
      <c r="C18" s="1" t="n"/>
      <c r="D18" s="1" t="n"/>
      <c r="E18" s="1" t="n"/>
      <c r="F18" s="1" t="n"/>
    </row>
  </sheetData>
  <mergeCells count="15">
    <mergeCell ref="B14:D14"/>
    <mergeCell ref="C10:D10"/>
    <mergeCell ref="B15:D15"/>
    <mergeCell ref="B1:D1"/>
    <mergeCell ref="B8:D8"/>
    <mergeCell ref="C11:D11"/>
    <mergeCell ref="B4:D4"/>
    <mergeCell ref="B16:D16"/>
    <mergeCell ref="B17:D17"/>
    <mergeCell ref="B18:D18"/>
    <mergeCell ref="C9:D9"/>
    <mergeCell ref="B12:D12"/>
    <mergeCell ref="B7:D7"/>
    <mergeCell ref="B6:D6"/>
    <mergeCell ref="B2:D2"/>
  </mergeCells>
  <conditionalFormatting sqref="B8:D8">
    <cfRule type="expression" priority="1" dxfId="8" stopIfTrue="1">
      <formula>$F$1=0</formula>
    </cfRule>
  </conditionalFormatting>
  <conditionalFormatting sqref="B9:B11">
    <cfRule type="expression" priority="2" dxfId="8" stopIfTrue="1">
      <formula>$F$1=0</formula>
    </cfRule>
  </conditionalFormatting>
  <conditionalFormatting sqref="B12:D12">
    <cfRule type="expression" priority="3" dxfId="9" stopIfTrue="1">
      <formula>$F$1&gt;=8</formula>
    </cfRule>
  </conditionalFormatting>
  <conditionalFormatting sqref="B4:D4">
    <cfRule type="expression" priority="4" dxfId="3" stopIfTrue="1">
      <formula>LEFT($B$4,1)="⚠"</formula>
    </cfRule>
  </conditionalFormatting>
  <pageMargins left="0.75" right="0.75" top="1" bottom="1" header="0.5" footer="0.5"/>
  <pageSetup orientation="portrait" fitToHeight="0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4"/>
  <sheetViews>
    <sheetView tabSelected="0" workbookViewId="0">
      <selection activeCell="A1" sqref="A1"/>
    </sheetView>
  </sheetViews>
  <sheetFormatPr baseColWidth="8" defaultRowHeight="15"/>
  <cols>
    <col width="50" customWidth="1" min="1" max="1"/>
    <col width="60" customWidth="1" min="2" max="2"/>
  </cols>
  <sheetData>
    <row r="1">
      <c r="A1" s="1" t="inlineStr">
        <is>
          <t>valeur case 1</t>
        </is>
      </c>
      <c r="B1" s="1">
        <f>IF(ISTEXT('Mon diagnostic'!$D$13),0,MAX(0,N('Mon diagnostic'!$D$13)))</f>
        <v/>
      </c>
    </row>
    <row r="2">
      <c r="A2" s="1" t="inlineStr">
        <is>
          <t>valeur case 2</t>
        </is>
      </c>
      <c r="B2" s="1">
        <f>IF(ISTEXT('Mon diagnostic'!$D$17),0,MAX(0,N('Mon diagnostic'!$D$17)))</f>
        <v/>
      </c>
    </row>
    <row r="3">
      <c r="A3" s="1" t="inlineStr">
        <is>
          <t>valeur case 3</t>
        </is>
      </c>
      <c r="B3" s="1">
        <f>IF(ISTEXT('Mon diagnostic'!$D$19),0,MAX(0,N('Mon diagnostic'!$D$19)))</f>
        <v/>
      </c>
    </row>
    <row r="4">
      <c r="A4" s="1" t="inlineStr">
        <is>
          <t>valeur case 4</t>
        </is>
      </c>
      <c r="B4" s="1">
        <f>IF(ISTEXT('Mon diagnostic'!$D$21),0,MAX(0,N('Mon diagnostic'!$D$21)))</f>
        <v/>
      </c>
    </row>
    <row r="5">
      <c r="A5" s="1" t="inlineStr">
        <is>
          <t>valeur case 5</t>
        </is>
      </c>
      <c r="B5" s="1">
        <f>IF(ISTEXT('Mon diagnostic'!$D$23),0,MAX(0,N('Mon diagnostic'!$D$23)))</f>
        <v/>
      </c>
    </row>
    <row r="6">
      <c r="A6" s="1" t="inlineStr">
        <is>
          <t>valeur case 6</t>
        </is>
      </c>
      <c r="B6" s="1">
        <f>IF(ISTEXT('Mon diagnostic'!$D$25),0,MAX(0,N('Mon diagnostic'!$D$25)))</f>
        <v/>
      </c>
    </row>
    <row r="7">
      <c r="A7" s="1" t="inlineStr">
        <is>
          <t>valeur case 7</t>
        </is>
      </c>
      <c r="B7" s="1">
        <f>IF(ISTEXT('Mon diagnostic'!$D$28),0,MAX(0,N('Mon diagnostic'!$D$28)))</f>
        <v/>
      </c>
    </row>
    <row r="8">
      <c r="A8" s="1" t="inlineStr">
        <is>
          <t>valeur case 8</t>
        </is>
      </c>
      <c r="B8" s="1">
        <f>IF(ISTEXT('Mon diagnostic'!$D$30),0,MAX(0,N('Mon diagnostic'!$D$30)))</f>
        <v/>
      </c>
    </row>
    <row r="9">
      <c r="A9" s="1" t="inlineStr">
        <is>
          <t>valeur case 9</t>
        </is>
      </c>
      <c r="B9" s="1">
        <f>IF(ISTEXT('Mon diagnostic'!$D$32),0,MAX(0,N('Mon diagnostic'!$D$32)))</f>
        <v/>
      </c>
    </row>
    <row r="10">
      <c r="A10" s="1" t="inlineStr">
        <is>
          <t>valeur case 10</t>
        </is>
      </c>
      <c r="B10" s="1">
        <f>IF(ISTEXT('Mon diagnostic'!$D$35),0,MAX(0,N('Mon diagnostic'!$D$35)))</f>
        <v/>
      </c>
    </row>
    <row r="11">
      <c r="A11" s="1" t="inlineStr">
        <is>
          <t>valeur case 11</t>
        </is>
      </c>
      <c r="B11" s="1">
        <f>IF(ISTEXT('Mon diagnostic'!$D$38),0,N('Mon diagnostic'!$D$38))</f>
        <v/>
      </c>
    </row>
    <row r="12">
      <c r="A12" s="1" t="inlineStr">
        <is>
          <t>valeur case 12</t>
        </is>
      </c>
      <c r="B12" s="1">
        <f>IF(ISTEXT('Mon diagnostic'!$D$40),0,N('Mon diagnostic'!$D$40))</f>
        <v/>
      </c>
    </row>
    <row r="13">
      <c r="A13" s="1" t="inlineStr">
        <is>
          <t>à corriger 1</t>
        </is>
      </c>
      <c r="B13" s="1">
        <f>IF(ISTEXT('Mon diagnostic'!$D$13),1,IF(N('Mon diagnostic'!$D$13)&lt;0,1,0))</f>
        <v/>
      </c>
    </row>
    <row r="14">
      <c r="A14" s="1" t="inlineStr">
        <is>
          <t>à corriger 2</t>
        </is>
      </c>
      <c r="B14" s="1">
        <f>IF(ISTEXT('Mon diagnostic'!$D$17),1,IF(N('Mon diagnostic'!$D$17)&lt;0,1,0))</f>
        <v/>
      </c>
    </row>
    <row r="15">
      <c r="A15" s="1" t="inlineStr">
        <is>
          <t>à corriger 3</t>
        </is>
      </c>
      <c r="B15" s="1">
        <f>IF(ISTEXT('Mon diagnostic'!$D$19),1,IF(N('Mon diagnostic'!$D$19)&lt;0,1,0))</f>
        <v/>
      </c>
    </row>
    <row r="16">
      <c r="A16" s="1" t="inlineStr">
        <is>
          <t>à corriger 4</t>
        </is>
      </c>
      <c r="B16" s="1">
        <f>IF(ISTEXT('Mon diagnostic'!$D$21),1,IF(N('Mon diagnostic'!$D$21)&lt;0,1,0))</f>
        <v/>
      </c>
    </row>
    <row r="17">
      <c r="A17" s="1" t="inlineStr">
        <is>
          <t>à corriger 5</t>
        </is>
      </c>
      <c r="B17" s="1">
        <f>IF(ISTEXT('Mon diagnostic'!$D$23),1,IF(N('Mon diagnostic'!$D$23)&lt;0,1,0))</f>
        <v/>
      </c>
    </row>
    <row r="18">
      <c r="A18" s="1" t="inlineStr">
        <is>
          <t>à corriger 6</t>
        </is>
      </c>
      <c r="B18" s="1">
        <f>IF(ISTEXT('Mon diagnostic'!$D$25),1,IF(N('Mon diagnostic'!$D$25)&lt;0,1,0))</f>
        <v/>
      </c>
    </row>
    <row r="19">
      <c r="A19" s="1" t="inlineStr">
        <is>
          <t>à corriger 7</t>
        </is>
      </c>
      <c r="B19" s="1">
        <f>IF(ISTEXT('Mon diagnostic'!$D$28),1,IF(N('Mon diagnostic'!$D$28)&lt;0,1,0))</f>
        <v/>
      </c>
    </row>
    <row r="20">
      <c r="A20" s="1" t="inlineStr">
        <is>
          <t>à corriger 8</t>
        </is>
      </c>
      <c r="B20" s="1">
        <f>IF(ISTEXT('Mon diagnostic'!$D$30),1,IF(N('Mon diagnostic'!$D$30)&lt;0,1,0))</f>
        <v/>
      </c>
    </row>
    <row r="21">
      <c r="A21" s="1" t="inlineStr">
        <is>
          <t>à corriger 9</t>
        </is>
      </c>
      <c r="B21" s="1">
        <f>IF(ISTEXT('Mon diagnostic'!$D$32),1,IF(N('Mon diagnostic'!$D$32)&lt;0,1,0))</f>
        <v/>
      </c>
    </row>
    <row r="22">
      <c r="A22" s="1" t="inlineStr">
        <is>
          <t>à corriger 10</t>
        </is>
      </c>
      <c r="B22" s="1">
        <f>IF(ISTEXT('Mon diagnostic'!$D$35),1,IF(N('Mon diagnostic'!$D$35)&lt;0,1,0))</f>
        <v/>
      </c>
    </row>
    <row r="23">
      <c r="A23" s="1" t="inlineStr">
        <is>
          <t>à corriger 11</t>
        </is>
      </c>
      <c r="B23" s="1">
        <f>IF(ISTEXT('Mon diagnostic'!$D$38),1,0)</f>
        <v/>
      </c>
    </row>
    <row r="24">
      <c r="A24" s="1" t="inlineStr">
        <is>
          <t>à corriger 12</t>
        </is>
      </c>
      <c r="B24" s="1">
        <f>IF(ISTEXT('Mon diagnostic'!$D$40),1,0)</f>
        <v/>
      </c>
    </row>
    <row r="25">
      <c r="A25" s="1" t="inlineStr">
        <is>
          <t>remplie 1</t>
        </is>
      </c>
      <c r="B25" s="1">
        <f>IF('Mon diagnostic'!$D$13="",0,1)</f>
        <v/>
      </c>
    </row>
    <row r="26">
      <c r="A26" s="1" t="inlineStr">
        <is>
          <t>remplie 2</t>
        </is>
      </c>
      <c r="B26" s="1">
        <f>IF('Mon diagnostic'!$D$17="",0,1)</f>
        <v/>
      </c>
    </row>
    <row r="27">
      <c r="A27" s="1" t="inlineStr">
        <is>
          <t>remplie 3</t>
        </is>
      </c>
      <c r="B27" s="1">
        <f>IF('Mon diagnostic'!$D$19="",0,1)</f>
        <v/>
      </c>
    </row>
    <row r="28">
      <c r="A28" s="1" t="inlineStr">
        <is>
          <t>remplie 4</t>
        </is>
      </c>
      <c r="B28" s="1">
        <f>IF('Mon diagnostic'!$D$21="",0,1)</f>
        <v/>
      </c>
    </row>
    <row r="29">
      <c r="A29" s="1" t="inlineStr">
        <is>
          <t>remplie 5</t>
        </is>
      </c>
      <c r="B29" s="1">
        <f>IF('Mon diagnostic'!$D$23="",0,1)</f>
        <v/>
      </c>
    </row>
    <row r="30">
      <c r="A30" s="1" t="inlineStr">
        <is>
          <t>remplie 6</t>
        </is>
      </c>
      <c r="B30" s="1">
        <f>IF('Mon diagnostic'!$D$25="",0,1)</f>
        <v/>
      </c>
    </row>
    <row r="31">
      <c r="A31" s="1" t="inlineStr">
        <is>
          <t>remplie 7</t>
        </is>
      </c>
      <c r="B31" s="1">
        <f>IF('Mon diagnostic'!$D$28="",0,1)</f>
        <v/>
      </c>
    </row>
    <row r="32">
      <c r="A32" s="1" t="inlineStr">
        <is>
          <t>remplie 8</t>
        </is>
      </c>
      <c r="B32" s="1">
        <f>IF('Mon diagnostic'!$D$30="",0,1)</f>
        <v/>
      </c>
    </row>
    <row r="33">
      <c r="A33" s="1" t="inlineStr">
        <is>
          <t>remplie 9</t>
        </is>
      </c>
      <c r="B33" s="1">
        <f>IF('Mon diagnostic'!$D$32="",0,1)</f>
        <v/>
      </c>
    </row>
    <row r="34">
      <c r="A34" s="1" t="inlineStr">
        <is>
          <t>remplie 10</t>
        </is>
      </c>
      <c r="B34" s="1">
        <f>IF('Mon diagnostic'!$D$35="",0,1)</f>
        <v/>
      </c>
    </row>
    <row r="35">
      <c r="A35" s="1" t="inlineStr">
        <is>
          <t>remplie 11</t>
        </is>
      </c>
      <c r="B35" s="1">
        <f>IF('Mon diagnostic'!$D$38="",0,1)</f>
        <v/>
      </c>
    </row>
    <row r="36">
      <c r="A36" s="1" t="inlineStr">
        <is>
          <t>remplie 12</t>
        </is>
      </c>
      <c r="B36" s="1">
        <f>IF('Mon diagnostic'!$D$40="",0,1)</f>
        <v/>
      </c>
    </row>
    <row r="37">
      <c r="A37" s="1" t="inlineStr">
        <is>
          <t>C11 cases remplies</t>
        </is>
      </c>
      <c r="B37" s="1">
        <f>SUM(Calculs!$B$25:$B$36)</f>
        <v/>
      </c>
    </row>
    <row r="38">
      <c r="A38" s="1" t="inlineStr">
        <is>
          <t>C12 case à corriger</t>
        </is>
      </c>
      <c r="B38" s="1">
        <f>IF(SUM(Calculs!$B$13:$B$24)=0,0,MATCH(1,Calculs!$B$13:$B$24,0))</f>
        <v/>
      </c>
    </row>
    <row r="39">
      <c r="A39" s="1" t="inlineStr">
        <is>
          <t>revenus saisis</t>
        </is>
      </c>
      <c r="B39" s="1">
        <f>IF('Mon diagnostic'!$D$13="",0,IF(Calculs!$B$13=1,0,1))</f>
        <v/>
      </c>
    </row>
    <row r="40">
      <c r="A40" s="1" t="inlineStr">
        <is>
          <t>solde A saisi</t>
        </is>
      </c>
      <c r="B40" s="1">
        <f>IF('Mon diagnostic'!$D$38="",0,IF(Calculs!$B$23=1,0,1))</f>
        <v/>
      </c>
    </row>
    <row r="41">
      <c r="A41" s="1" t="inlineStr">
        <is>
          <t>solde B saisi</t>
        </is>
      </c>
      <c r="B41" s="1">
        <f>IF('Mon diagnostic'!$D$40="",0,IF(Calculs!$B$24=1,0,1))</f>
        <v/>
      </c>
    </row>
    <row r="42">
      <c r="A42" s="1" t="inlineStr">
        <is>
          <t>deux soldes saisis</t>
        </is>
      </c>
      <c r="B42" s="1">
        <f>IF(Calculs!$B$40=1,IF(Calculs!$B$41=1,1,0),0)</f>
        <v/>
      </c>
    </row>
    <row r="43">
      <c r="A43" s="1" t="inlineStr">
        <is>
          <t>à deux</t>
        </is>
      </c>
      <c r="B43" s="1">
        <f>IF('Mon diagnostic'!$D$10="À deux",1,0)</f>
        <v/>
      </c>
    </row>
    <row r="44">
      <c r="A44" s="1" t="inlineStr">
        <is>
          <t>I</t>
        </is>
      </c>
      <c r="B44" s="1">
        <f>Calculs!$B$1</f>
        <v/>
      </c>
    </row>
    <row r="45">
      <c r="A45" s="1" t="inlineStr">
        <is>
          <t>F dépenses fixes</t>
        </is>
      </c>
      <c r="B45" s="1">
        <f>SUM(Calculs!$B$2:$B$6)</f>
        <v/>
      </c>
    </row>
    <row r="46">
      <c r="A46" s="1" t="inlineStr">
        <is>
          <t>W variables</t>
        </is>
      </c>
      <c r="B46" s="1">
        <f>SUM(Calculs!$B$7:$B$9)</f>
        <v/>
      </c>
    </row>
    <row r="47">
      <c r="A47" s="1" t="inlineStr">
        <is>
          <t>C crédits</t>
        </is>
      </c>
      <c r="B47" s="1">
        <f>Calculs!$B$5</f>
        <v/>
      </c>
    </row>
    <row r="48">
      <c r="A48" s="1" t="inlineStr">
        <is>
          <t>S épargne virée</t>
        </is>
      </c>
      <c r="B48" s="1">
        <f>Calculs!$B$10</f>
        <v/>
      </c>
    </row>
    <row r="49">
      <c r="A49" s="1" t="inlineStr">
        <is>
          <t>A solde aujourd'hui</t>
        </is>
      </c>
      <c r="B49" s="1">
        <f>Calculs!$B$11</f>
        <v/>
      </c>
    </row>
    <row r="50">
      <c r="A50" s="1" t="inlineStr">
        <is>
          <t>B solde il y a 3 mois</t>
        </is>
      </c>
      <c r="B50" s="1">
        <f>Calculs!$B$12</f>
        <v/>
      </c>
    </row>
    <row r="51">
      <c r="A51" s="1" t="inlineStr">
        <is>
          <t>C1 dépenses estimées</t>
        </is>
      </c>
      <c r="B51" s="1">
        <f>Calculs!$B$45+Calculs!$B$46</f>
        <v/>
      </c>
    </row>
    <row r="52">
      <c r="A52" s="1" t="inlineStr">
        <is>
          <t>C3 devrait rester</t>
        </is>
      </c>
      <c r="B52" s="1">
        <f>Calculs!$B$44-Calculs!$B$51-Calculs!$B$48</f>
        <v/>
      </c>
    </row>
    <row r="53">
      <c r="A53" s="1" t="inlineStr">
        <is>
          <t>C4 variation par mois</t>
        </is>
      </c>
      <c r="B53" s="1">
        <f>IF(Calculs!$B$42=1,(Calculs!$B$49-Calculs!$B$50)/3,0)</f>
        <v/>
      </c>
    </row>
    <row r="54">
      <c r="A54" s="1" t="inlineStr">
        <is>
          <t>C5 non identifié</t>
        </is>
      </c>
      <c r="B54" s="1">
        <f>Calculs!$B$52-Calculs!$B$53</f>
        <v/>
      </c>
    </row>
    <row r="55">
      <c r="A55" s="1" t="inlineStr">
        <is>
          <t>C6 non identifié affiché</t>
        </is>
      </c>
      <c r="B55" s="1">
        <f>ROUND(Calculs!$B$52,0)-ROUND(Calculs!$B$53,0)</f>
        <v/>
      </c>
    </row>
    <row r="56">
      <c r="A56" s="1" t="inlineStr">
        <is>
          <t>C7 part de l'écart</t>
        </is>
      </c>
      <c r="B56" s="1">
        <f>IF(Calculs!$B$44&gt;0,Calculs!$B$54/Calculs!$B$44,0)</f>
        <v/>
      </c>
    </row>
    <row r="57">
      <c r="A57" s="1" t="inlineStr">
        <is>
          <t>C2 part des fixes</t>
        </is>
      </c>
      <c r="B57" s="1">
        <f>IF(Calculs!$B$44&gt;0,Calculs!$B$45/Calculs!$B$44,0)</f>
        <v/>
      </c>
    </row>
    <row r="58">
      <c r="A58" s="1" t="inlineStr">
        <is>
          <t>C8 épargne réelle</t>
        </is>
      </c>
      <c r="B58" s="1">
        <f>Calculs!$B$48+Calculs!$B$53</f>
        <v/>
      </c>
    </row>
    <row r="59">
      <c r="A59" s="1" t="inlineStr">
        <is>
          <t>taux d'épargne réel</t>
        </is>
      </c>
      <c r="B59" s="1">
        <f>IF(Calculs!$B$44&gt;0,Calculs!$B$58/Calculs!$B$44,0)</f>
        <v/>
      </c>
    </row>
    <row r="60">
      <c r="A60" s="1" t="inlineStr">
        <is>
          <t>C9 niveau 1 faible 2 modéré 3 important 4 inversé</t>
        </is>
      </c>
      <c r="B60" s="1">
        <f>IF(ROUND(Calculs!$B$56,9)&lt;-0.05,4,IF(ROUND(Calculs!$B$56,9)&lt;=0.05,1,IF(ROUND(Calculs!$B$56,9)&lt;=0.15,2,3)))</f>
        <v/>
      </c>
    </row>
    <row r="61">
      <c r="A61" s="1" t="inlineStr">
        <is>
          <t>e &gt; 5 %</t>
        </is>
      </c>
      <c r="B61" s="1">
        <f>IF(Calculs!$B$60=2,1,IF(Calculs!$B$60=3,1,0))</f>
        <v/>
      </c>
    </row>
    <row r="62">
      <c r="A62" s="1" t="inlineStr">
        <is>
          <t>e &lt; -5 %</t>
        </is>
      </c>
      <c r="B62" s="1">
        <f>IF(Calculs!$B$60=4,1,0)</f>
        <v/>
      </c>
    </row>
    <row r="63">
      <c r="A63" s="1" t="inlineStr">
        <is>
          <t>C10 situation fragile</t>
        </is>
      </c>
      <c r="B63" s="1">
        <f>IF(Calculs!$B$39=1,IF(ROUND(Calculs!$B$51-Calculs!$B$44,2)&gt;0,1,IF(ROUND(Calculs!$B$49,2)&lt;0,1,0)),0)</f>
        <v/>
      </c>
    </row>
    <row r="64">
      <c r="A64" s="1" t="inlineStr">
        <is>
          <t>dépenses vides</t>
        </is>
      </c>
      <c r="B64" s="1">
        <f>IF(ROUND(SUM(Calculs!$B$2:$B$9),2)=0,1,0)</f>
        <v/>
      </c>
    </row>
    <row r="65">
      <c r="A65" s="1" t="inlineStr">
        <is>
          <t>état V0 à V5</t>
        </is>
      </c>
      <c r="B65" s="1">
        <f>IF(Calculs!$B$37=0,0,IF(Calculs!$B$39=0,1,IF(Calculs!$B$63=1,2,IF(Calculs!$B$64=1,3,IF(Calculs!$B$42=0,4,5)))))</f>
        <v/>
      </c>
    </row>
    <row r="66">
      <c r="A66" s="1" t="inlineStr">
        <is>
          <t>valeur affichée</t>
        </is>
      </c>
      <c r="B66" s="1">
        <f>IF(Calculs!$B$42=1,IF(Calculs!$B$65=5,1,IF(Calculs!$B$65=2,IF(Calculs!$B$44&gt;0,1,0),0)),0)</f>
        <v/>
      </c>
    </row>
    <row r="67">
      <c r="A67" s="1" t="inlineStr">
        <is>
          <t>carte si écart faible</t>
        </is>
      </c>
      <c r="B67" s="1">
        <f>IF(ROUND(Calculs!$B$58,0)&lt;0,4,IF(ROUND(Calculs!$B$48,2)=0,5,IF(ROUND(Calculs!$B$59,9)&gt;=0.1,6,7)))</f>
        <v/>
      </c>
    </row>
    <row r="68">
      <c r="A68" s="1" t="inlineStr">
        <is>
          <t>carte 0 fragile, 1 à 6, 7 = 6 bis, 8 = A, 9 = B</t>
        </is>
      </c>
      <c r="B68" s="1">
        <f>IF(Calculs!$B$65=2,0,IF(Calculs!$B$65&lt;=1,8,IF(Calculs!$B$65=3,8,IF(Calculs!$B$38&gt;0,8,IF(Calculs!$B$65=4,9,IF(Calculs!$B$60&lt;&gt;1,IF(Calculs!$B$43=1,1,2),IF(ROUND(Calculs!$B$47,2)&gt;0,IF(ROUND(Calculs!$B$57,9)&gt;0.5,3,Calculs!$B$67),Calculs!$B$67)))))))</f>
        <v/>
      </c>
    </row>
    <row r="69">
      <c r="A69" s="1" t="inlineStr">
        <is>
          <t>tEa</t>
        </is>
      </c>
      <c r="B69" s="1">
        <f>FIXED(ABS(Calculs!$B$55),0)</f>
        <v/>
      </c>
    </row>
    <row r="70">
      <c r="A70" s="1" t="inlineStr">
        <is>
          <t>tV</t>
        </is>
      </c>
      <c r="B70" s="1">
        <f>FIXED(ABS(ROUND(Calculs!$B$53,0)),0)</f>
        <v/>
      </c>
    </row>
    <row r="71">
      <c r="A71" s="1" t="inlineStr">
        <is>
          <t>tEr2</t>
        </is>
      </c>
      <c r="B71" s="1">
        <f>FIXED(ABS(ROUND(Calculs!$B$58,0)),0)</f>
        <v/>
      </c>
    </row>
    <row r="72">
      <c r="A72" s="1" t="inlineStr">
        <is>
          <t>tR</t>
        </is>
      </c>
      <c r="B72" s="1">
        <f>FIXED(ABS(ROUND(Calculs!$B$52,0)),0)</f>
        <v/>
      </c>
    </row>
    <row r="73">
      <c r="A73" s="1" t="inlineStr">
        <is>
          <t>tPF</t>
        </is>
      </c>
      <c r="B73" s="1">
        <f>FIXED(ROUND(Calculs!$B$57*100,0),0)</f>
        <v/>
      </c>
    </row>
    <row r="74">
      <c r="A74" s="1" t="inlineStr">
        <is>
          <t>tE100</t>
        </is>
      </c>
      <c r="B74" s="1">
        <f>FIXED(ROUND(ABS(Calculs!$B$56)*100,0),0)</f>
        <v/>
      </c>
    </row>
    <row r="75">
      <c r="A75" s="1" t="inlineStr">
        <is>
          <t>S1</t>
        </is>
      </c>
      <c r="B75" s="1">
        <f>IF(ROUND(Calculs!$B$44,2)=0,"Vous avez indiqué 0 € de revenus.",IF(ROUND(Calculs!$B$45,2)=0,"Vous n'avez indiqué aucune dépense fixe (cases 2 à 6).","Vos dépenses fixes prennent environ "&amp;Calculs!$B$73&amp;" % de vos revenus."))</f>
        <v/>
      </c>
    </row>
    <row r="76">
      <c r="A76" s="1" t="inlineStr">
        <is>
          <t>S2a</t>
        </is>
      </c>
      <c r="B76" s="1">
        <f>IF(ROUND(Calculs!$B$52,0)&gt;=0,"D'après vos estimations, il devrait vous rester environ "&amp;Calculs!$B$72&amp;" € par mois.","D'après vos estimations, vos dépenses et votre épargne dépassent vos revenus d'environ "&amp;Calculs!$B$72&amp;" € par mois.")</f>
        <v/>
      </c>
    </row>
    <row r="77">
      <c r="A77" s="1" t="inlineStr">
        <is>
          <t>S2b</t>
        </is>
      </c>
      <c r="B77" s="1">
        <f>IF(ROUND(Calculs!$B$53,0)&gt;0,"En réalité, votre compte monte d'environ "&amp;Calculs!$B$70&amp;" € par mois.",IF(ROUND(Calculs!$B$53,0)&lt;0,"En réalité, votre compte baisse d'environ "&amp;Calculs!$B$70&amp;" € par mois.","En réalité, votre compte est resté stable."))</f>
        <v/>
      </c>
    </row>
    <row r="78">
      <c r="A78" s="1" t="inlineStr">
        <is>
          <t>S3</t>
        </is>
      </c>
      <c r="B78" s="1">
        <f>IF(Calculs!$B$61=1,"Environ "&amp;Calculs!$B$69&amp;" € par mois sortent donc sans que vous les ayez comptés. C'est très fréquent : on oublie surtout les petites dépenses et celles qui ne reviennent pas tous les mois.",IF(Calculs!$B$62=1,"Votre compte fait mieux que vos estimations, d'environ "&amp;Calculs!$B$69&amp;" € par mois. Vous avez peut-être surestimé des dépenses, ou reçu une rentrée exceptionnelle (prime, remboursement).",IF(Calculs!$B$55=0,"Vos estimations collent à la réalité : vous connaissez bien vos dépenses habituelles.","Vos estimations sont proches de la réalité (écart d'environ "&amp;Calculs!$B$69&amp;" € par mois) : vous connaissez bien vos dépenses habituelles.")))</f>
        <v/>
      </c>
    </row>
    <row r="79">
      <c r="A79" s="1" t="inlineStr">
        <is>
          <t>constat</t>
        </is>
      </c>
      <c r="B79" s="1">
        <f>IF(Calculs!$B$65=0,"Commencez par la case 1 : vos revenus du mois.",IF(Calculs!$B$65=1,"Remplissez la case 1 (vos revenus) pour voir votre constat.",IF(Calculs!$B$65=3,"Remplissez vos dépenses (cases 2 à 9) pour voir votre constat.",IF(Calculs!$B$42=0,Calculs!$B$75&amp;" Ajoutez vos deux soldes (cases 11 et 12) pour voir combien vous échappe chaque mois.",IF(ROUND(Calculs!$B$44,2)=0,Calculs!$B$75&amp;" "&amp;Calculs!$B$76&amp;" "&amp;Calculs!$B$77,Calculs!$B$75&amp;" "&amp;Calculs!$B$76&amp;" "&amp;Calculs!$B$77&amp;" "&amp;Calculs!$B$78)))))</f>
        <v/>
      </c>
    </row>
    <row r="80">
      <c r="A80" s="1" t="inlineStr">
        <is>
          <t>nivtxt</t>
        </is>
      </c>
      <c r="B80" s="1">
        <f>IF(Calculs!$B$60=1,IF(Calculs!$B$63=1,"Écart faible : "&amp;Calculs!$B$74&amp;" % de vos revenus","✔ Écart faible : vos estimations sont justes"),IF(Calculs!$B$60=2,"Écart modéré : "&amp;Calculs!$B$74&amp;" % de vos revenus",IF(Calculs!$B$60=3,"Écart important : "&amp;Calculs!$B$74&amp;" % de vos revenus","Écart inversé : votre compte fait mieux que prévu")))</f>
        <v/>
      </c>
    </row>
    <row r="81">
      <c r="A81" s="1" t="inlineStr">
        <is>
          <t>pistes affichées</t>
        </is>
      </c>
      <c r="B81" s="1">
        <f>IF(Calculs!$B$65=2,1,IF(Calculs!$B$65=5,1,0))</f>
        <v/>
      </c>
    </row>
    <row r="82">
      <c r="A82" s="1" t="inlineStr">
        <is>
          <t>condition P1</t>
        </is>
      </c>
      <c r="B82" s="1">
        <f>IF(Calculs!$B$81=1,IF(Calculs!$B$63=1,1,IF(Calculs!$B$60&lt;&gt;1,1,0)),0)</f>
        <v/>
      </c>
    </row>
    <row r="83">
      <c r="A83" s="1" t="inlineStr">
        <is>
          <t>condition P2</t>
        </is>
      </c>
      <c r="B83" s="1">
        <f>IF(Calculs!$B$81=1,IF(Calculs!$B$63=1,0,IF(Calculs!$B$61=1,1,IF(ROUND(Calculs!$B$58,2)&lt;0,1,0))),0)</f>
        <v/>
      </c>
    </row>
    <row r="84">
      <c r="A84" s="1" t="inlineStr">
        <is>
          <t>condition P3</t>
        </is>
      </c>
      <c r="B84" s="1">
        <f>IF(Calculs!$B$81=1,IF(ROUND(Calculs!$B$57,9)&gt;0.5,1,0),0)</f>
        <v/>
      </c>
    </row>
    <row r="85">
      <c r="A85" s="1" t="inlineStr">
        <is>
          <t>condition P6</t>
        </is>
      </c>
      <c r="B85" s="1">
        <f>IF(Calculs!$B$81=1,IF(ROUND(Calculs!$B$47,2)&gt;0,1,0),0)</f>
        <v/>
      </c>
    </row>
    <row r="86">
      <c r="A86" s="1" t="inlineStr">
        <is>
          <t>condition P4</t>
        </is>
      </c>
      <c r="B86" s="1">
        <f>IF(Calculs!$B$81=1,IF(Calculs!$B$63=1,0,IF(ROUND(Calculs!$B$48,2)=0,1,0)),0)</f>
        <v/>
      </c>
    </row>
    <row r="87">
      <c r="A87" s="1" t="inlineStr">
        <is>
          <t>condition P5</t>
        </is>
      </c>
      <c r="B87" s="1">
        <f>IF(Calculs!$B$81=1,IF(Calculs!$B$63=1,0,IF(ROUND(Calculs!$B$58,2)&gt;=0,1,0)),0)</f>
        <v/>
      </c>
    </row>
    <row r="88">
      <c r="A88" s="1" t="inlineStr">
        <is>
          <t>condition P7</t>
        </is>
      </c>
      <c r="B88" s="1">
        <f>IF(Calculs!$B$81=1,IF(Calculs!$B$63=1,0,IF(Calculs!$B$60=1,1,0)),0)</f>
        <v/>
      </c>
    </row>
    <row r="89">
      <c r="A89" s="1" t="inlineStr">
        <is>
          <t>condition P8</t>
        </is>
      </c>
      <c r="B89" s="1">
        <f>Calculs!$B$81</f>
        <v/>
      </c>
    </row>
    <row r="90">
      <c r="A90" s="1" t="inlineStr">
        <is>
          <t>rang P1</t>
        </is>
      </c>
      <c r="B90" s="1">
        <f>IF(Calculs!$B$82=1,SUM(Calculs!$B$82:$B$82),0)</f>
        <v/>
      </c>
    </row>
    <row r="91">
      <c r="A91" s="1" t="inlineStr">
        <is>
          <t>rang P2</t>
        </is>
      </c>
      <c r="B91" s="1">
        <f>IF(Calculs!$B$83=1,SUM(Calculs!$B$82:$B$83),0)</f>
        <v/>
      </c>
    </row>
    <row r="92">
      <c r="A92" s="1" t="inlineStr">
        <is>
          <t>rang P3</t>
        </is>
      </c>
      <c r="B92" s="1">
        <f>IF(Calculs!$B$84=1,SUM(Calculs!$B$82:$B$84),0)</f>
        <v/>
      </c>
    </row>
    <row r="93">
      <c r="A93" s="1" t="inlineStr">
        <is>
          <t>rang P6</t>
        </is>
      </c>
      <c r="B93" s="1">
        <f>IF(Calculs!$B$85=1,SUM(Calculs!$B$82:$B$85),0)</f>
        <v/>
      </c>
    </row>
    <row r="94">
      <c r="A94" s="1" t="inlineStr">
        <is>
          <t>rang P4</t>
        </is>
      </c>
      <c r="B94" s="1">
        <f>IF(Calculs!$B$86=1,SUM(Calculs!$B$82:$B$86),0)</f>
        <v/>
      </c>
    </row>
    <row r="95">
      <c r="A95" s="1" t="inlineStr">
        <is>
          <t>rang P5</t>
        </is>
      </c>
      <c r="B95" s="1">
        <f>IF(Calculs!$B$87=1,SUM(Calculs!$B$82:$B$87),0)</f>
        <v/>
      </c>
    </row>
    <row r="96">
      <c r="A96" s="1" t="inlineStr">
        <is>
          <t>rang P7</t>
        </is>
      </c>
      <c r="B96" s="1">
        <f>IF(Calculs!$B$88=1,SUM(Calculs!$B$82:$B$88),0)</f>
        <v/>
      </c>
    </row>
    <row r="97">
      <c r="A97" s="1" t="inlineStr">
        <is>
          <t>rang P8</t>
        </is>
      </c>
      <c r="B97" s="1">
        <f>IF(Calculs!$B$89=1,SUM(Calculs!$B$82:$B$89),0)</f>
        <v/>
      </c>
    </row>
    <row r="98">
      <c r="A98" s="1" t="inlineStr">
        <is>
          <t>texte P1</t>
        </is>
      </c>
      <c r="B98" s="1">
        <f>IF(Calculs!$B$68=1,"Notez toutes vos dépenses pendant un mois, même les petites : un carnet suffit, notre Budget de couple les range à deux.",IF(Calculs!$B$68=2,"Notez toutes vos dépenses pendant un mois, même les petites : un carnet suffit, notre Tableau Budget les range pour vous.","Notez toutes vos dépenses pendant un mois, même les petites : c'est le seul moyen de savoir où part votre argent."))</f>
        <v/>
      </c>
    </row>
    <row r="99">
      <c r="A99" s="1" t="inlineStr">
        <is>
          <t>texte P2</t>
        </is>
      </c>
      <c r="B99" s="1">
        <f>IF(Calculs!$B$68=4,"Repérez les dépenses irrégulières (cadeaux, réparations, impôts) et mettez un peu de côté chaque mois : nos Enveloppes le calculent.","Repérez les dépenses qui ne reviennent pas chaque mois (cadeaux, réparations, impôts) et mettez un peu de côté chaque mois pour elles.")</f>
        <v/>
      </c>
    </row>
    <row r="100">
      <c r="A100" s="1" t="inlineStr">
        <is>
          <t>texte P3</t>
        </is>
      </c>
      <c r="B100" s="1">
        <f>"Relisez chaque année vos contrats (assurances, box, énergie) et vos abonnements : c'est souvent là qu'on économise durablement."</f>
        <v/>
      </c>
    </row>
    <row r="101">
      <c r="A101" s="1" t="inlineStr">
        <is>
          <t>texte P6</t>
        </is>
      </c>
      <c r="B101" s="1">
        <f>IF(Calculs!$B$68=3,"Listez vos crédits avec leur mensualité et leur date de fin : savoir quand chacun se termine aide à décider. Notre Suivi des dettes le calcule.","Faites la liste de vos crédits avec leur mensualité et leur date de fin : savoir quand chacun se termine aide à décider.")</f>
        <v/>
      </c>
    </row>
    <row r="102">
      <c r="A102" s="1" t="inlineStr">
        <is>
          <t>texte P4</t>
        </is>
      </c>
      <c r="B102" s="1">
        <f>"Programmez un virement automatique vers votre épargne le jour de vos revenus, même 20 € : l'habitude compte plus que le montant."</f>
        <v/>
      </c>
    </row>
    <row r="103">
      <c r="A103" s="1" t="inlineStr">
        <is>
          <t>texte P5</t>
        </is>
      </c>
      <c r="B103" s="1">
        <f>"Gardez une épargne de précaution, disponible tout de suite pour les imprévus. On parle souvent de quelques mois de dépenses."</f>
        <v/>
      </c>
    </row>
    <row r="104">
      <c r="A104" s="1" t="inlineStr">
        <is>
          <t>texte P7</t>
        </is>
      </c>
      <c r="B104" s="1">
        <f>"Prochaine étape possible : fixer un budget prévu pour le mois (ce que vous comptez dépenser), puis le comparer à vos dépenses réelles."</f>
        <v/>
      </c>
    </row>
    <row r="105">
      <c r="A105" s="1" t="inlineStr">
        <is>
          <t>texte P8</t>
        </is>
      </c>
      <c r="B105" s="1">
        <f>"Refaites ce diagnostic dans 3 mois, avec deux nouveaux soldes, pour voir ce qui a changé."</f>
        <v/>
      </c>
    </row>
    <row r="106">
      <c r="A106" s="1" t="inlineStr">
        <is>
          <t>piste affichée 1</t>
        </is>
      </c>
      <c r="B106" s="1">
        <f>IF(MAX(Calculs!$B$90:$B$97)&gt;=1,INDEX(Calculs!$B$98:$B$105,MATCH(1,Calculs!$B$90:$B$97,0)),"")</f>
        <v/>
      </c>
    </row>
    <row r="107">
      <c r="A107" s="1" t="inlineStr">
        <is>
          <t>piste affichée 2</t>
        </is>
      </c>
      <c r="B107" s="1">
        <f>IF(MAX(Calculs!$B$90:$B$97)&gt;=2,INDEX(Calculs!$B$98:$B$105,MATCH(2,Calculs!$B$90:$B$97,0)),"")</f>
        <v/>
      </c>
    </row>
    <row r="108">
      <c r="A108" s="1" t="inlineStr">
        <is>
          <t>piste affichée 3</t>
        </is>
      </c>
      <c r="B108" s="1">
        <f>IF(MAX(Calculs!$B$90:$B$97)&gt;=3,INDEX(Calculs!$B$98:$B$105,MATCH(3,Calculs!$B$90:$B$97,0)),"")</f>
        <v/>
      </c>
    </row>
    <row r="109">
      <c r="A109" s="1" t="inlineStr">
        <is>
          <t>nom carte 1</t>
        </is>
      </c>
      <c r="B109" s="1" t="inlineStr">
        <is>
          <t>Budget de couple</t>
        </is>
      </c>
    </row>
    <row r="110">
      <c r="A110" s="1" t="inlineStr">
        <is>
          <t>nom carte 2</t>
        </is>
      </c>
      <c r="B110" s="1" t="inlineStr">
        <is>
          <t>Tableau Budget</t>
        </is>
      </c>
    </row>
    <row r="111">
      <c r="A111" s="1" t="inlineStr">
        <is>
          <t>nom carte 3</t>
        </is>
      </c>
      <c r="B111" s="1" t="inlineStr">
        <is>
          <t>Suivi des dettes et crédits</t>
        </is>
      </c>
    </row>
    <row r="112">
      <c r="A112" s="1" t="inlineStr">
        <is>
          <t>nom carte 4</t>
        </is>
      </c>
      <c r="B112" s="1" t="inlineStr">
        <is>
          <t>Enveloppes d'épargne</t>
        </is>
      </c>
    </row>
    <row r="113">
      <c r="A113" s="1" t="inlineStr">
        <is>
          <t>nom carte 5</t>
        </is>
      </c>
      <c r="B113" s="1" t="inlineStr">
        <is>
          <t>Pack Épargne Défis + Enveloppes</t>
        </is>
      </c>
    </row>
    <row r="114">
      <c r="A114" s="1" t="inlineStr">
        <is>
          <t>nom carte 6</t>
        </is>
      </c>
      <c r="B114" s="1" t="inlineStr">
        <is>
          <t>Suivi Patrimoine &amp; FIRE</t>
        </is>
      </c>
    </row>
    <row r="115">
      <c r="A115" s="1" t="inlineStr">
        <is>
          <t>nom carte 7</t>
        </is>
      </c>
      <c r="B115" s="1" t="inlineStr">
        <is>
          <t>Enveloppes d'épargne</t>
        </is>
      </c>
    </row>
    <row r="116">
      <c r="A116" s="1" t="inlineStr">
        <is>
          <t>lien carte 1</t>
        </is>
      </c>
      <c r="B116" s="1" t="inlineStr">
        <is>
          <t>https://smartwealthlab.etsy.com/listing/4598173453</t>
        </is>
      </c>
    </row>
    <row r="117">
      <c r="A117" s="1" t="inlineStr">
        <is>
          <t>lien carte 2</t>
        </is>
      </c>
      <c r="B117" s="1" t="inlineStr">
        <is>
          <t>https://smartwealthlab.etsy.com/listing/4598104749</t>
        </is>
      </c>
    </row>
    <row r="118">
      <c r="A118" s="1" t="inlineStr">
        <is>
          <t>lien carte 3</t>
        </is>
      </c>
      <c r="B118" s="1" t="inlineStr">
        <is>
          <t>https://smartwealthlab.etsy.com/listing/4598996418</t>
        </is>
      </c>
    </row>
    <row r="119">
      <c r="A119" s="1" t="inlineStr">
        <is>
          <t>lien carte 4</t>
        </is>
      </c>
      <c r="B119" s="1" t="inlineStr">
        <is>
          <t>https://smartwealthlab.etsy.com/listing/4598145197</t>
        </is>
      </c>
    </row>
    <row r="120">
      <c r="A120" s="1" t="inlineStr">
        <is>
          <t>lien carte 5</t>
        </is>
      </c>
      <c r="B120" s="1" t="inlineStr">
        <is>
          <t>https://smartwealthlab.etsy.com/listing/4599097131</t>
        </is>
      </c>
    </row>
    <row r="121">
      <c r="A121" s="1" t="inlineStr">
        <is>
          <t>lien carte 6</t>
        </is>
      </c>
      <c r="B121" s="1" t="inlineStr">
        <is>
          <t>https://smartwealthlab.etsy.com/listing/4598132061</t>
        </is>
      </c>
    </row>
    <row r="122">
      <c r="A122" s="1" t="inlineStr">
        <is>
          <t>lien carte 7</t>
        </is>
      </c>
      <c r="B122" s="1" t="inlineStr">
        <is>
          <t>https://smartwealthlab.etsy.com/listing/4598145197</t>
        </is>
      </c>
    </row>
    <row r="123">
      <c r="A123" s="1" t="inlineStr">
        <is>
          <t>2e ligne carte 1</t>
        </is>
      </c>
      <c r="B123" s="1" t="inlineStr">
        <is>
          <t>Pour aller plus loin : le Pack Couple (Budget de couple + Enveloppes).</t>
        </is>
      </c>
    </row>
    <row r="124">
      <c r="A124" s="1" t="inlineStr">
        <is>
          <t>2e ligne carte 2</t>
        </is>
      </c>
      <c r="B124" s="1" t="inlineStr">
        <is>
          <t>Pour aller plus loin : le Pack Essentiel (Budget + Enveloppes).</t>
        </is>
      </c>
    </row>
    <row r="125">
      <c r="A125" s="1" t="inlineStr">
        <is>
          <t>2e ligne carte 3</t>
        </is>
      </c>
      <c r="B125" s="1" t="inlineStr">
        <is>
          <t>Pour aller plus loin : le Pack Reprendre la main (Budget + Enveloppes + Dettes).</t>
        </is>
      </c>
    </row>
    <row r="126">
      <c r="A126" s="1" t="inlineStr">
        <is>
          <t>2e ligne carte 4</t>
        </is>
      </c>
      <c r="B126" s="1" t="inlineStr">
        <is>
          <t>Pour aller plus loin : le Pack Essentiel (Budget + Enveloppes).</t>
        </is>
      </c>
    </row>
    <row r="127">
      <c r="A127" s="1" t="inlineStr">
        <is>
          <t>2e ligne carte 5</t>
        </is>
      </c>
      <c r="B127" s="1" t="inlineStr">
        <is>
          <t>Pour commencer plus petit : les Défis d'épargne seuls.</t>
        </is>
      </c>
    </row>
    <row r="128">
      <c r="A128" s="1" t="inlineStr">
        <is>
          <t>2e ligne carte 6</t>
        </is>
      </c>
      <c r="B128" s="1" t="inlineStr">
        <is>
          <t>Pour aller plus loin : le Pack Complet (Budget + Enveloppes + Patrimoine).</t>
        </is>
      </c>
    </row>
    <row r="129">
      <c r="A129" s="1" t="inlineStr">
        <is>
          <t>2e ligne carte 7</t>
        </is>
      </c>
      <c r="B129" s="1" t="inlineStr">
        <is>
          <t>Pour aller plus loin : le Pack Essentiel (Budget + Enveloppes).</t>
        </is>
      </c>
    </row>
    <row r="130">
      <c r="A130" s="1" t="inlineStr">
        <is>
          <t>lien 2e ligne carte 1</t>
        </is>
      </c>
      <c r="B130" s="1" t="inlineStr">
        <is>
          <t>https://smartwealthlab.etsy.com/listing/4598260258</t>
        </is>
      </c>
    </row>
    <row r="131">
      <c r="A131" s="1" t="inlineStr">
        <is>
          <t>lien 2e ligne carte 2</t>
        </is>
      </c>
      <c r="B131" s="1" t="inlineStr">
        <is>
          <t>https://smartwealthlab.etsy.com/listing/4598170156</t>
        </is>
      </c>
    </row>
    <row r="132">
      <c r="A132" s="1" t="inlineStr">
        <is>
          <t>lien 2e ligne carte 3</t>
        </is>
      </c>
      <c r="B132" s="1" t="inlineStr">
        <is>
          <t>https://smartwealthlab.etsy.com/listing/4598974225</t>
        </is>
      </c>
    </row>
    <row r="133">
      <c r="A133" s="1" t="inlineStr">
        <is>
          <t>lien 2e ligne carte 4</t>
        </is>
      </c>
      <c r="B133" s="1" t="inlineStr">
        <is>
          <t>https://smartwealthlab.etsy.com/listing/4598170156</t>
        </is>
      </c>
    </row>
    <row r="134">
      <c r="A134" s="1" t="inlineStr">
        <is>
          <t>lien 2e ligne carte 5</t>
        </is>
      </c>
      <c r="B134" s="1" t="inlineStr">
        <is>
          <t>https://smartwealthlab.etsy.com/listing/4598258318</t>
        </is>
      </c>
    </row>
    <row r="135">
      <c r="A135" s="1" t="inlineStr">
        <is>
          <t>lien 2e ligne carte 6</t>
        </is>
      </c>
      <c r="B135" s="1" t="inlineStr">
        <is>
          <t>https://smartwealthlab.etsy.com/listing/4598152039</t>
        </is>
      </c>
    </row>
    <row r="136">
      <c r="A136" s="1" t="inlineStr">
        <is>
          <t>lien 2e ligne carte 7</t>
        </is>
      </c>
      <c r="B136" s="1" t="inlineStr">
        <is>
          <t>https://smartwealthlab.etsy.com/listing/4598170156</t>
        </is>
      </c>
    </row>
    <row r="137">
      <c r="A137" s="1" t="inlineStr">
        <is>
          <t>pont carte 1</t>
        </is>
      </c>
      <c r="B137" s="1">
        <f>IF(Calculs!$B$62=1,"Votre compte fait mieux que prévu : où va vraiment votre argent ? Seul un suivi le montre. Notre outil à deux : Budget de couple ›","Où partent ces "&amp;Calculs!$B$69&amp;" € par mois ? Ce test ne le dit pas : un suivi de vos dépenses, si. Notre outil à deux : Budget de couple ›")</f>
        <v/>
      </c>
    </row>
    <row r="138">
      <c r="A138" s="1" t="inlineStr">
        <is>
          <t>pont carte 2</t>
        </is>
      </c>
      <c r="B138" s="1">
        <f>IF(Calculs!$B$62=1,"Votre compte fait mieux que prévu : où va vraiment votre argent ? Seul un suivi le montre. Notre outil pour cela : Tableau Budget ›","Où partent ces "&amp;Calculs!$B$69&amp;" € par mois ? Ce test ne le dit pas : un suivi de vos dépenses, si. Notre outil pour cela : Tableau Budget ›")</f>
        <v/>
      </c>
    </row>
    <row r="139">
      <c r="A139" s="1" t="inlineStr">
        <is>
          <t>pont carte 3</t>
        </is>
      </c>
      <c r="B139" s="1">
        <f>"Vos crédits pèsent dans vos dépenses fixes : quand se termine chacun ? Notre outil pour cela : Suivi des dettes et crédits ›"</f>
        <v/>
      </c>
    </row>
    <row r="140">
      <c r="A140" s="1" t="inlineStr">
        <is>
          <t>pont carte 4</t>
        </is>
      </c>
      <c r="B140" s="1">
        <f>"Votre compte baisse d'environ "&amp;Calculs!$B$70&amp;" € par mois, souvent à cause de dépenses irrégulières. Notre outil pour les prévoir : Enveloppes d'épargne ›"</f>
        <v/>
      </c>
    </row>
    <row r="141">
      <c r="A141" s="1" t="inlineStr">
        <is>
          <t>pont carte 5</t>
        </is>
      </c>
      <c r="B141" s="1">
        <f>"Aucun virement d'épargne chaque mois pour l'instant : par où commencer ? Nos outils pour démarrer : Pack Épargne Défis + Enveloppes ›"</f>
        <v/>
      </c>
    </row>
    <row r="142">
      <c r="A142" s="1" t="inlineStr">
        <is>
          <t>pont carte 6</t>
        </is>
      </c>
      <c r="B142" s="1">
        <f>"Vous épargnez environ "&amp;Calculs!$B$71&amp;" € par mois : que vaut votre patrimoine net ? Notre outil pour le suivre : Suivi Patrimoine &amp; FIRE ›"</f>
        <v/>
      </c>
    </row>
    <row r="143">
      <c r="A143" s="1" t="inlineStr">
        <is>
          <t>pont carte 7</t>
        </is>
      </c>
      <c r="B143" s="1">
        <f>"Vos estimations sont justes : avez-vous prévu vos dépenses irrégulières ? Notre outil pour cela : Enveloppes d'épargne ›"</f>
        <v/>
      </c>
    </row>
    <row r="144">
      <c r="A144" s="1" t="inlineStr">
        <is>
          <t>texte carte 1</t>
        </is>
      </c>
      <c r="B144" s="1">
        <f>IF(Calculs!$B$62=1,"Votre compte fait mieux que prévu, d'environ "&amp;Calculs!$B$69&amp;" € par mois. Pour connaître vos vrais chiffres, notez vos dépenses : à deux, ce tableau le fait avec vous et calcule la part de chacun.","Pour savoir où partent ces "&amp;Calculs!$B$69&amp;" € par mois, notez vos dépenses un mois. À deux, ce tableau les range par catégorie et calcule la part de chacun (50/50 ou selon les revenus).")</f>
        <v/>
      </c>
    </row>
    <row r="145">
      <c r="A145" s="1" t="inlineStr">
        <is>
          <t>texte carte 2</t>
        </is>
      </c>
      <c r="B145" s="1">
        <f>IF(Calculs!$B$62=1,"Votre compte fait mieux que prévu, d'environ "&amp;Calculs!$B$69&amp;" € par mois. Pour connaître vos vrais chiffres, notez vos dépenses : ce tableau les range par catégorie et les compare au prévu.","Pour savoir où partent ces "&amp;Calculs!$B$69&amp;" € par mois, notez vos dépenses un mois. Ce tableau les range par catégorie : vous voyez où part l'argent et l'écart avec votre prévu.")</f>
        <v/>
      </c>
    </row>
    <row r="146">
      <c r="A146" s="1" t="inlineStr">
        <is>
          <t>texte carte 3</t>
        </is>
      </c>
      <c r="B146" s="1">
        <f>"Vos estimations sont justes, et vos crédits pèsent dans vos dépenses fixes. Ce tableau les rassemble, calcule leur date de fin et compare deux méthodes de remboursement."</f>
        <v/>
      </c>
    </row>
    <row r="147">
      <c r="A147" s="1" t="inlineStr">
        <is>
          <t>texte carte 4</t>
        </is>
      </c>
      <c r="B147" s="1">
        <f>"Vos estimations sont justes, mais votre compte baisse d'environ "&amp;Calculs!$B$70&amp;" € par mois, souvent à cause des dépenses irrégulières. Ce tableau calcule combien prévoir pour chacune."</f>
        <v/>
      </c>
    </row>
    <row r="148">
      <c r="A148" s="1" t="inlineStr">
        <is>
          <t>texte carte 5</t>
        </is>
      </c>
      <c r="B148" s="1">
        <f>"Vos estimations sont justes, et aucun virement d'épargne n'est encore prévu chaque mois. Ce pack réunit des défis pour démarrer en douceur et des enveloppes pour vos grosses dépenses."</f>
        <v/>
      </c>
    </row>
    <row r="149">
      <c r="A149" s="1" t="inlineStr">
        <is>
          <t>texte carte 6</t>
        </is>
      </c>
      <c r="B149" s="1">
        <f>"Vos estimations sont justes, et vous épargnez environ "&amp;Calculs!$B$71&amp;" € par mois. Ce tableau rassemble vos comptes, calcule votre patrimoine net et estime votre âge d'indépendance."</f>
        <v/>
      </c>
    </row>
    <row r="150">
      <c r="A150" s="1" t="inlineStr">
        <is>
          <t>texte carte 7</t>
        </is>
      </c>
      <c r="B150" s="1">
        <f>"Vos estimations sont justes, et votre épargne réelle est d'environ "&amp;Calculs!$B$71&amp;" € par mois. Ce tableau calcule combien prévoir chaque mois pour vos dépenses irrégulières."</f>
        <v/>
      </c>
    </row>
    <row r="151">
      <c r="A151" s="1" t="inlineStr">
        <is>
          <t>lien boutique</t>
        </is>
      </c>
      <c r="B151" s="1" t="inlineStr">
        <is>
          <t>https://smartwealthlab.etsy.com</t>
        </is>
      </c>
    </row>
    <row r="152">
      <c r="A152" s="1" t="inlineStr">
        <is>
          <t>lien Points conseil budget</t>
        </is>
      </c>
      <c r="B152" s="1" t="inlineStr">
        <is>
          <t>https://www.mesquestionsdargent.fr/budget/se-faire-aider</t>
        </is>
      </c>
    </row>
    <row r="153">
      <c r="A153" s="1" t="inlineStr">
        <is>
          <t>bandeau d'aide l. 48</t>
        </is>
      </c>
      <c r="B153" s="1" t="inlineStr">
        <is>
          <t>À lire : vos dépenses dépassent vos revenus, ou votre compte est à découvert. Des aides gratuites existent : onglet « Et ensuite ? ».</t>
        </is>
      </c>
    </row>
    <row r="154">
      <c r="A154" s="1" t="inlineStr">
        <is>
          <t>formules intactes (ISFORMULA)</t>
        </is>
      </c>
      <c r="B154" s="1">
        <f>IF(N(ISFORMULA('Mon diagnostic'!F1))+N(ISFORMULA('Mon diagnostic'!B8))+N(ISFORMULA('Mon diagnostic'!C11))+N(ISFORMULA('Mon diagnostic'!C14))+N(ISFORMULA('Mon diagnostic'!C18))+N(ISFORMULA('Mon diagnostic'!C20))+N(ISFORMULA('Mon diagnostic'!C22))+N(ISFORMULA('Mon diagnostic'!C24))+N(ISFORMULA('Mon diagnostic'!C26))+N(ISFORMULA('Mon diagnostic'!C29))+N(ISFORMULA('Mon diagnostic'!C31))+N(ISFORMULA('Mon diagnostic'!C33))+N(ISFORMULA('Mon diagnostic'!C36))+N(ISFORMULA('Mon diagnostic'!C39))+N(ISFORMULA('Mon diagnostic'!C41))+N(ISFORMULA('Mon diagnostic'!B45))+N(ISFORMULA('Mon diagnostic'!B46))+N(ISFORMULA('Mon diagnostic'!B47))+N(ISFORMULA('Mon diagnostic'!B48))+N(ISFORMULA('Mon diagnostic'!D49))+N(ISFORMULA('Mon diagnostic'!D50))+N(ISFORMULA('Mon diagnostic'!D51))+N(ISFORMULA('Mon diagnostic'!D52))+N(ISFORMULA('Mon diagnostic'!B54))+N(ISFORMULA('Mon diagnostic'!B56))+N(ISFORMULA('Mon diagnostic'!C56))+N(ISFORMULA('Mon diagnostic'!B57))+N(ISFORMULA('Mon diagnostic'!C57))+N(ISFORMULA('Mon diagnostic'!B58))+N(ISFORMULA('Mon diagnostic'!C58))+N(ISFORMULA('Mon diagnostic'!B59))+N(ISFORMULA('Et ensuite'!F1))+N(ISFORMULA('Et ensuite'!B6))+N(ISFORMULA('Et ensuite'!B7))+N(ISFORMULA('Et ensuite'!B8))+N(ISFORMULA('Et ensuite'!B9))+N(ISFORMULA('Et ensuite'!C9))+N(ISFORMULA('Et ensuite'!B10))+N(ISFORMULA('Et ensuite'!C10))+N(ISFORMULA('Et ensuite'!B11))+N(ISFORMULA('Et ensuite'!C11))+N(ISFORMULA('Et ensuite'!B12))+N(ISFORMULA('Et ensuite'!B14))+N(ISFORMULA('Et ensuite'!B16))+N(ISFORMULA('Et ensuite'!B18))=45,1,0)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SmartWealthLab</dc:creator>
  <dc:title>Diagnostic budget SmartWealthLab</dc:title>
  <dcterms:created xsi:type="dcterms:W3CDTF">2026-10-26T06:12:33Z</dcterms:created>
  <dcterms:modified xsi:type="dcterms:W3CDTF">2026-10-26T06:12:33Z</dcterms:modified>
  <cp:lastModifiedBy>SmartWealthLab</cp:lastModifiedBy>
</cp:coreProperties>
</file>